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068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<sst xmlns="http://schemas.openxmlformats.org/spreadsheetml/2006/main" count="1869" uniqueCount="665">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</sst>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">
      <c r="A1" s="1" t="s">
        <v>626</v>
      </c>
      <c r="B1" s="2"/>
      <c r="Z1" s="432">
        <v>1</v>
      </c>
      <c r="AA1" s="433">
        <f>IF(ISBLANK(_endDate),"",_endDate)</f>
        <v>45016</v>
      </c>
    </row>
    <row r="2" spans="1:27" ht="15">
      <c r="A2" s="420" t="s">
        <v>650</v>
      </c>
      <c r="B2" s="415"/>
      <c r="Z2" s="432">
        <v>2</v>
      </c>
      <c r="AA2" s="433">
        <f>IF(ISBLANK(_pdeReportingDate),"",_pdeReportingDate)</f>
        <v>45071</v>
      </c>
    </row>
    <row r="3" spans="1:27" ht="1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">
      <c r="A4" s="414" t="s">
        <v>651</v>
      </c>
      <c r="B4" s="415"/>
    </row>
    <row r="5" spans="1:2" ht="30.75">
      <c r="A5" s="418" t="s">
        <v>652</v>
      </c>
      <c r="B5" s="419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4">
        <v>44927</v>
      </c>
    </row>
    <row r="10" spans="1:2" ht="15">
      <c r="A10" s="7" t="s">
        <v>2</v>
      </c>
      <c r="B10" s="314">
        <v>45016</v>
      </c>
    </row>
    <row r="11" spans="1:2" ht="15">
      <c r="A11" s="7" t="s">
        <v>638</v>
      </c>
      <c r="B11" s="314">
        <v>45071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3" t="s">
        <v>654</v>
      </c>
    </row>
    <row r="15" spans="1:2" ht="15">
      <c r="A15" s="10" t="s">
        <v>630</v>
      </c>
      <c r="B15" s="315" t="s">
        <v>588</v>
      </c>
    </row>
    <row r="16" spans="1:2" ht="15">
      <c r="A16" s="7" t="s">
        <v>3</v>
      </c>
      <c r="B16" s="313" t="s">
        <v>655</v>
      </c>
    </row>
    <row r="17" spans="1:2" ht="15">
      <c r="A17" s="7" t="s">
        <v>586</v>
      </c>
      <c r="B17" s="313" t="s">
        <v>656</v>
      </c>
    </row>
    <row r="18" spans="1:2" ht="15">
      <c r="A18" s="7" t="s">
        <v>585</v>
      </c>
      <c r="B18" s="313" t="s">
        <v>657</v>
      </c>
    </row>
    <row r="19" spans="1:2" ht="15">
      <c r="A19" s="7" t="s">
        <v>4</v>
      </c>
      <c r="B19" s="313" t="s">
        <v>658</v>
      </c>
    </row>
    <row r="20" spans="1:2" ht="15">
      <c r="A20" s="7" t="s">
        <v>5</v>
      </c>
      <c r="B20" s="313" t="s">
        <v>658</v>
      </c>
    </row>
    <row r="21" spans="1:2" ht="15">
      <c r="A21" s="10" t="s">
        <v>6</v>
      </c>
      <c r="B21" s="315" t="s">
        <v>659</v>
      </c>
    </row>
    <row r="22" spans="1:2" ht="15">
      <c r="A22" s="10" t="s">
        <v>583</v>
      </c>
      <c r="B22" s="315" t="s">
        <v>660</v>
      </c>
    </row>
    <row r="23" spans="1:2" ht="15">
      <c r="A23" s="10" t="s">
        <v>7</v>
      </c>
      <c r="B23" s="422" t="s">
        <v>661</v>
      </c>
    </row>
    <row r="24" spans="1:2" ht="15">
      <c r="A24" s="10" t="s">
        <v>584</v>
      </c>
      <c r="B24" s="423" t="s">
        <v>662</v>
      </c>
    </row>
    <row r="25" spans="1:2" ht="15">
      <c r="A25" s="7" t="s">
        <v>587</v>
      </c>
      <c r="B25" s="424"/>
    </row>
    <row r="26" spans="1:2" ht="15">
      <c r="A26" s="10" t="s">
        <v>631</v>
      </c>
      <c r="B26" s="315" t="s">
        <v>663</v>
      </c>
    </row>
    <row r="27" spans="1:2" ht="15">
      <c r="A27" s="10" t="s">
        <v>632</v>
      </c>
      <c r="B27" s="315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">
      <selection activeCell="H34" sqref="H3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>
        <v>5048</v>
      </c>
      <c r="D12" s="119">
        <v>5048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20476</v>
      </c>
      <c r="D13" s="119">
        <v>20863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22658</v>
      </c>
      <c r="D14" s="119">
        <v>23103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3367</v>
      </c>
      <c r="D15" s="119">
        <v>3384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581</v>
      </c>
      <c r="D16" s="119">
        <v>535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204</v>
      </c>
      <c r="D17" s="119">
        <v>219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1643</v>
      </c>
      <c r="D18" s="119">
        <v>1352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53977</v>
      </c>
      <c r="D20" s="334">
        <f>SUM(D12:D19)</f>
        <v>54504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11029</v>
      </c>
      <c r="H21" s="118">
        <v>11037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23</v>
      </c>
      <c r="D24" s="119">
        <v>25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63</v>
      </c>
      <c r="D25" s="119">
        <v>64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17602</v>
      </c>
      <c r="H26" s="334">
        <f>H20+H21+H22</f>
        <v>17610</v>
      </c>
      <c r="M26" s="74"/>
    </row>
    <row r="27" spans="1:8" ht="15.75">
      <c r="A27" s="66" t="s">
        <v>79</v>
      </c>
      <c r="B27" s="68" t="s">
        <v>80</v>
      </c>
      <c r="C27" s="119">
        <v>1508</v>
      </c>
      <c r="D27" s="119">
        <v>2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1594</v>
      </c>
      <c r="D28" s="334">
        <f>SUM(D24:D27)</f>
        <v>91</v>
      </c>
      <c r="E28" s="124" t="s">
        <v>84</v>
      </c>
      <c r="F28" s="69" t="s">
        <v>85</v>
      </c>
      <c r="G28" s="331">
        <f>SUM(G29:G31)</f>
        <v>52014</v>
      </c>
      <c r="H28" s="332">
        <f>SUM(H29:H31)</f>
        <v>17157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52014</v>
      </c>
      <c r="H29" s="118">
        <v>17157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>
        <v>16386</v>
      </c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13079</v>
      </c>
      <c r="H32" s="119">
        <v>34849</v>
      </c>
      <c r="M32" s="74"/>
    </row>
    <row r="33" spans="1:8" ht="15.75">
      <c r="A33" s="248" t="s">
        <v>99</v>
      </c>
      <c r="B33" s="73" t="s">
        <v>100</v>
      </c>
      <c r="C33" s="333">
        <f>C31+C32</f>
        <v>16386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65093</v>
      </c>
      <c r="H34" s="334">
        <f>H28+H32+H33</f>
        <v>52006</v>
      </c>
    </row>
    <row r="35" spans="1:8" ht="15">
      <c r="A35" s="66" t="s">
        <v>106</v>
      </c>
      <c r="B35" s="70" t="s">
        <v>107</v>
      </c>
      <c r="C35" s="331">
        <f>SUM(C36:C39)</f>
        <v>355</v>
      </c>
      <c r="D35" s="332">
        <f>SUM(D36:D39)</f>
        <v>355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122128</v>
      </c>
      <c r="H37" s="336">
        <f>H26+H18+H34</f>
        <v>109049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>
        <v>355</v>
      </c>
      <c r="D39" s="118">
        <v>355</v>
      </c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1186</v>
      </c>
      <c r="H40" s="319">
        <v>281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355</v>
      </c>
      <c r="D46" s="334">
        <f>D35+D40+D45</f>
        <v>355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>
        <v>21</v>
      </c>
      <c r="H47" s="118">
        <v>21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8317</v>
      </c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8338</v>
      </c>
      <c r="H50" s="332">
        <f>SUM(H44:H49)</f>
        <v>21</v>
      </c>
    </row>
    <row r="51" spans="1:8" ht="15">
      <c r="A51" s="66" t="s">
        <v>79</v>
      </c>
      <c r="B51" s="68" t="s">
        <v>155</v>
      </c>
      <c r="C51" s="119">
        <v>4256</v>
      </c>
      <c r="D51" s="118">
        <v>2194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4256</v>
      </c>
      <c r="D52" s="334">
        <f>SUM(D48:D51)</f>
        <v>2194</v>
      </c>
      <c r="E52" s="123" t="s">
        <v>158</v>
      </c>
      <c r="F52" s="71" t="s">
        <v>159</v>
      </c>
      <c r="G52" s="119">
        <v>1809</v>
      </c>
      <c r="H52" s="118">
        <v>1809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4">
        <v>8</v>
      </c>
      <c r="D55" s="245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1" t="s">
        <v>170</v>
      </c>
      <c r="B56" s="130" t="s">
        <v>171</v>
      </c>
      <c r="C56" s="337">
        <f>C20+C21+C22+C28+C33+C46+C52+C54+C55</f>
        <v>76576</v>
      </c>
      <c r="D56" s="338">
        <f>D20+D21+D22+D28+D33+D46+D52+D54+D55</f>
        <v>57146</v>
      </c>
      <c r="E56" s="76" t="s">
        <v>529</v>
      </c>
      <c r="F56" s="75" t="s">
        <v>172</v>
      </c>
      <c r="G56" s="335">
        <f>G50+G52+G53+G54+G55</f>
        <v>10147</v>
      </c>
      <c r="H56" s="336">
        <f>H50+H52+H53+H54+H55</f>
        <v>1830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>
        <v>18332</v>
      </c>
      <c r="D59" s="119">
        <v>18226</v>
      </c>
      <c r="E59" s="123" t="s">
        <v>180</v>
      </c>
      <c r="F59" s="252" t="s">
        <v>181</v>
      </c>
      <c r="G59" s="119">
        <v>5480</v>
      </c>
      <c r="H59" s="118"/>
    </row>
    <row r="60" spans="1:13" ht="15">
      <c r="A60" s="66" t="s">
        <v>178</v>
      </c>
      <c r="B60" s="68" t="s">
        <v>179</v>
      </c>
      <c r="C60" s="119">
        <v>1490</v>
      </c>
      <c r="D60" s="119">
        <v>1414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1121</v>
      </c>
      <c r="D61" s="119">
        <v>1784</v>
      </c>
      <c r="E61" s="122" t="s">
        <v>188</v>
      </c>
      <c r="F61" s="69" t="s">
        <v>189</v>
      </c>
      <c r="G61" s="331">
        <f>SUM(G62:G68)</f>
        <v>35560</v>
      </c>
      <c r="H61" s="332">
        <f>SUM(H62:H68)</f>
        <v>27992</v>
      </c>
    </row>
    <row r="62" spans="1:13" ht="15">
      <c r="A62" s="66" t="s">
        <v>186</v>
      </c>
      <c r="B62" s="70" t="s">
        <v>187</v>
      </c>
      <c r="C62" s="119">
        <v>11597</v>
      </c>
      <c r="D62" s="119">
        <v>7730</v>
      </c>
      <c r="E62" s="122" t="s">
        <v>192</v>
      </c>
      <c r="F62" s="69" t="s">
        <v>193</v>
      </c>
      <c r="G62" s="119">
        <v>231</v>
      </c>
      <c r="H62" s="119">
        <v>727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31</v>
      </c>
      <c r="H63" s="119">
        <v>43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20547</v>
      </c>
      <c r="H64" s="119">
        <v>18010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32540</v>
      </c>
      <c r="D65" s="334">
        <f>SUM(D59:D64)</f>
        <v>29154</v>
      </c>
      <c r="E65" s="66" t="s">
        <v>201</v>
      </c>
      <c r="F65" s="69" t="s">
        <v>202</v>
      </c>
      <c r="G65" s="119">
        <v>1326</v>
      </c>
      <c r="H65" s="119">
        <v>1052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6674</v>
      </c>
      <c r="H66" s="119">
        <v>5922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1396</v>
      </c>
      <c r="H67" s="119">
        <v>1115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5355</v>
      </c>
      <c r="H68" s="119">
        <v>1123</v>
      </c>
    </row>
    <row r="69" spans="1:8" ht="15">
      <c r="A69" s="66" t="s">
        <v>210</v>
      </c>
      <c r="B69" s="68" t="s">
        <v>211</v>
      </c>
      <c r="C69" s="119">
        <v>35067</v>
      </c>
      <c r="D69" s="119">
        <v>27140</v>
      </c>
      <c r="E69" s="123" t="s">
        <v>79</v>
      </c>
      <c r="F69" s="69" t="s">
        <v>216</v>
      </c>
      <c r="G69" s="119">
        <v>1012</v>
      </c>
      <c r="H69" s="119">
        <v>978</v>
      </c>
    </row>
    <row r="70" spans="1:8" ht="15">
      <c r="A70" s="66" t="s">
        <v>214</v>
      </c>
      <c r="B70" s="68" t="s">
        <v>215</v>
      </c>
      <c r="C70" s="119">
        <v>458</v>
      </c>
      <c r="D70" s="119">
        <v>338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42052</v>
      </c>
      <c r="H71" s="334">
        <f>H59+H60+H61+H69+H70</f>
        <v>28970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2768</v>
      </c>
      <c r="D73" s="119">
        <v>1589</v>
      </c>
      <c r="E73" s="239" t="s">
        <v>230</v>
      </c>
      <c r="F73" s="71" t="s">
        <v>231</v>
      </c>
      <c r="G73" s="244"/>
      <c r="H73" s="245"/>
    </row>
    <row r="74" spans="1:8" ht="1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73</v>
      </c>
      <c r="D75" s="119">
        <v>32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38366</v>
      </c>
      <c r="D76" s="334">
        <f>SUM(D68:D75)</f>
        <v>29099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42052</v>
      </c>
      <c r="H79" s="336">
        <f>H71+H73+H75+H77</f>
        <v>28970</v>
      </c>
    </row>
    <row r="80" spans="1:8" ht="1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108</v>
      </c>
      <c r="D88" s="119">
        <v>26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27554</v>
      </c>
      <c r="D89" s="119">
        <v>24541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27662</v>
      </c>
      <c r="D92" s="334">
        <f>SUM(D88:D91)</f>
        <v>24567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369</v>
      </c>
      <c r="D93" s="245">
        <v>164</v>
      </c>
      <c r="E93" s="126"/>
      <c r="F93" s="79"/>
      <c r="G93" s="358"/>
      <c r="H93" s="359"/>
    </row>
    <row r="94" spans="1:13" ht="15.75" thickBot="1">
      <c r="A94" s="256" t="s">
        <v>263</v>
      </c>
      <c r="B94" s="147" t="s">
        <v>264</v>
      </c>
      <c r="C94" s="337">
        <f>C65+C76+C85+C92+C93</f>
        <v>98937</v>
      </c>
      <c r="D94" s="338">
        <f>D65+D76+D85+D92+D93</f>
        <v>82984</v>
      </c>
      <c r="E94" s="148"/>
      <c r="F94" s="149"/>
      <c r="G94" s="360"/>
      <c r="H94" s="361"/>
      <c r="M94" s="74"/>
    </row>
    <row r="95" spans="1:8" ht="31.5" thickBot="1">
      <c r="A95" s="253" t="s">
        <v>265</v>
      </c>
      <c r="B95" s="254" t="s">
        <v>266</v>
      </c>
      <c r="C95" s="339">
        <f>C94+C56</f>
        <v>175513</v>
      </c>
      <c r="D95" s="340">
        <f>D94+D56</f>
        <v>140130</v>
      </c>
      <c r="E95" s="150" t="s">
        <v>605</v>
      </c>
      <c r="F95" s="255" t="s">
        <v>268</v>
      </c>
      <c r="G95" s="339">
        <f>G37+G40+G56+G79</f>
        <v>175513</v>
      </c>
      <c r="H95" s="340">
        <f>H37+H40+H56+H79</f>
        <v>140130</v>
      </c>
    </row>
    <row r="96" spans="1:13" ht="15">
      <c r="A96" s="96"/>
      <c r="B96" s="308"/>
      <c r="C96" s="96"/>
      <c r="D96" s="96"/>
      <c r="E96" s="309"/>
      <c r="M96" s="74"/>
    </row>
    <row r="97" spans="1:13" ht="15">
      <c r="A97" s="311"/>
      <c r="B97" s="308"/>
      <c r="C97" s="96"/>
      <c r="D97" s="96"/>
      <c r="E97" s="309"/>
      <c r="M97" s="74"/>
    </row>
    <row r="98" spans="1:13" ht="15">
      <c r="A98" s="427" t="s">
        <v>638</v>
      </c>
      <c r="B98" s="435">
        <f>pdeReportingDate</f>
        <v>45071</v>
      </c>
      <c r="C98" s="435"/>
      <c r="D98" s="435"/>
      <c r="E98" s="435"/>
      <c r="F98" s="435"/>
      <c r="G98" s="435"/>
      <c r="H98" s="435"/>
      <c r="M98" s="74"/>
    </row>
    <row r="99" spans="1:13" ht="1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">
      <c r="A101" s="428"/>
      <c r="B101" s="57"/>
      <c r="C101" s="57"/>
      <c r="D101" s="57"/>
      <c r="E101" s="57"/>
      <c r="F101" s="57"/>
      <c r="G101" s="57"/>
      <c r="H101" s="57"/>
    </row>
    <row r="102" spans="1:8" ht="1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">
      <c r="E117" s="312"/>
    </row>
    <row r="119" spans="5:13" ht="15">
      <c r="E119" s="312"/>
      <c r="M119" s="74"/>
    </row>
    <row r="121" spans="5:13" ht="15">
      <c r="E121" s="312"/>
      <c r="M121" s="74"/>
    </row>
    <row r="123" ht="15">
      <c r="E123" s="312"/>
    </row>
    <row r="125" spans="5:13" ht="15">
      <c r="E125" s="312"/>
      <c r="M125" s="74"/>
    </row>
    <row r="127" spans="5:13" ht="15">
      <c r="E127" s="312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2"/>
      <c r="M135" s="74"/>
    </row>
    <row r="137" spans="5:13" ht="15">
      <c r="E137" s="312"/>
      <c r="M137" s="74"/>
    </row>
    <row r="139" spans="5:13" ht="15">
      <c r="E139" s="312"/>
      <c r="M139" s="74"/>
    </row>
    <row r="141" spans="5:13" ht="15">
      <c r="E141" s="312"/>
      <c r="M141" s="74"/>
    </row>
    <row r="143" ht="15">
      <c r="E143" s="312"/>
    </row>
    <row r="145" ht="15">
      <c r="E145" s="312"/>
    </row>
    <row r="147" ht="15">
      <c r="E147" s="312"/>
    </row>
    <row r="149" spans="5:13" ht="15">
      <c r="E149" s="312"/>
      <c r="M149" s="74"/>
    </row>
    <row r="151" ht="15">
      <c r="M151" s="74"/>
    </row>
    <row r="153" ht="15">
      <c r="M153" s="74"/>
    </row>
    <row r="159" ht="15">
      <c r="E159" s="312"/>
    </row>
    <row r="161" spans="1:18" s="310" customFormat="1" ht="1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5">
        <v>29094</v>
      </c>
      <c r="D12" s="235">
        <v>24415</v>
      </c>
      <c r="E12" s="116" t="s">
        <v>277</v>
      </c>
      <c r="F12" s="161" t="s">
        <v>278</v>
      </c>
      <c r="G12" s="235">
        <v>62682</v>
      </c>
      <c r="H12" s="235">
        <v>48595</v>
      </c>
    </row>
    <row r="13" spans="1:8" ht="15">
      <c r="A13" s="116" t="s">
        <v>279</v>
      </c>
      <c r="B13" s="112" t="s">
        <v>280</v>
      </c>
      <c r="C13" s="235">
        <v>3913</v>
      </c>
      <c r="D13" s="235">
        <v>2862</v>
      </c>
      <c r="E13" s="116" t="s">
        <v>281</v>
      </c>
      <c r="F13" s="161" t="s">
        <v>282</v>
      </c>
      <c r="G13" s="235">
        <v>2747</v>
      </c>
      <c r="H13" s="235">
        <v>65</v>
      </c>
    </row>
    <row r="14" spans="1:8" ht="15">
      <c r="A14" s="116" t="s">
        <v>283</v>
      </c>
      <c r="B14" s="112" t="s">
        <v>284</v>
      </c>
      <c r="C14" s="235">
        <v>2620</v>
      </c>
      <c r="D14" s="235">
        <v>2395</v>
      </c>
      <c r="E14" s="166" t="s">
        <v>285</v>
      </c>
      <c r="F14" s="161" t="s">
        <v>286</v>
      </c>
      <c r="G14" s="235">
        <v>413</v>
      </c>
      <c r="H14" s="235">
        <v>342</v>
      </c>
    </row>
    <row r="15" spans="1:8" ht="15">
      <c r="A15" s="116" t="s">
        <v>287</v>
      </c>
      <c r="B15" s="112" t="s">
        <v>288</v>
      </c>
      <c r="C15" s="235">
        <v>12362</v>
      </c>
      <c r="D15" s="235">
        <v>9992</v>
      </c>
      <c r="E15" s="166" t="s">
        <v>79</v>
      </c>
      <c r="F15" s="161" t="s">
        <v>289</v>
      </c>
      <c r="G15" s="235">
        <v>430</v>
      </c>
      <c r="H15" s="235">
        <v>595</v>
      </c>
    </row>
    <row r="16" spans="1:8" ht="15.75">
      <c r="A16" s="116" t="s">
        <v>290</v>
      </c>
      <c r="B16" s="112" t="s">
        <v>291</v>
      </c>
      <c r="C16" s="235">
        <v>2694</v>
      </c>
      <c r="D16" s="235">
        <v>1944</v>
      </c>
      <c r="E16" s="157" t="s">
        <v>52</v>
      </c>
      <c r="F16" s="185" t="s">
        <v>292</v>
      </c>
      <c r="G16" s="364">
        <f>SUM(G12:G15)</f>
        <v>66272</v>
      </c>
      <c r="H16" s="365">
        <f>SUM(H12:H15)</f>
        <v>49597</v>
      </c>
    </row>
    <row r="17" spans="1:8" ht="30.75">
      <c r="A17" s="116" t="s">
        <v>293</v>
      </c>
      <c r="B17" s="112" t="s">
        <v>294</v>
      </c>
      <c r="C17" s="235"/>
      <c r="D17" s="235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5">
        <v>693</v>
      </c>
      <c r="D18" s="235">
        <v>-524</v>
      </c>
      <c r="E18" s="155" t="s">
        <v>297</v>
      </c>
      <c r="F18" s="159" t="s">
        <v>298</v>
      </c>
      <c r="G18" s="375">
        <v>198</v>
      </c>
      <c r="H18" s="375">
        <v>626</v>
      </c>
    </row>
    <row r="19" spans="1:8" ht="15">
      <c r="A19" s="116" t="s">
        <v>299</v>
      </c>
      <c r="B19" s="112" t="s">
        <v>300</v>
      </c>
      <c r="C19" s="235">
        <v>284</v>
      </c>
      <c r="D19" s="235">
        <v>160</v>
      </c>
      <c r="E19" s="116" t="s">
        <v>301</v>
      </c>
      <c r="F19" s="158" t="s">
        <v>302</v>
      </c>
      <c r="G19" s="235">
        <v>198</v>
      </c>
      <c r="H19" s="236">
        <v>626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51660</v>
      </c>
      <c r="D22" s="365">
        <f>SUM(D12:D18)+D19</f>
        <v>41244</v>
      </c>
      <c r="E22" s="116" t="s">
        <v>309</v>
      </c>
      <c r="F22" s="158" t="s">
        <v>310</v>
      </c>
      <c r="G22" s="235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0.75">
      <c r="A25" s="116" t="s">
        <v>316</v>
      </c>
      <c r="B25" s="158" t="s">
        <v>317</v>
      </c>
      <c r="C25" s="235">
        <v>1</v>
      </c>
      <c r="D25" s="235">
        <v>1</v>
      </c>
      <c r="E25" s="116" t="s">
        <v>318</v>
      </c>
      <c r="F25" s="158" t="s">
        <v>319</v>
      </c>
      <c r="G25" s="235">
        <v>16</v>
      </c>
      <c r="H25" s="235">
        <v>27</v>
      </c>
    </row>
    <row r="26" spans="1:8" ht="30.7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5"/>
    </row>
    <row r="27" spans="1:8" ht="30.75">
      <c r="A27" s="116" t="s">
        <v>324</v>
      </c>
      <c r="B27" s="158" t="s">
        <v>325</v>
      </c>
      <c r="C27" s="235">
        <v>40</v>
      </c>
      <c r="D27" s="235">
        <v>26</v>
      </c>
      <c r="E27" s="157" t="s">
        <v>104</v>
      </c>
      <c r="F27" s="159" t="s">
        <v>326</v>
      </c>
      <c r="G27" s="364">
        <f>SUM(G22:G26)</f>
        <v>16</v>
      </c>
      <c r="H27" s="365">
        <f>SUM(H22:H26)</f>
        <v>27</v>
      </c>
    </row>
    <row r="28" spans="1:8" ht="15">
      <c r="A28" s="116" t="s">
        <v>79</v>
      </c>
      <c r="B28" s="158" t="s">
        <v>327</v>
      </c>
      <c r="C28" s="235">
        <v>62</v>
      </c>
      <c r="D28" s="235">
        <v>23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103</v>
      </c>
      <c r="D29" s="365">
        <f>SUM(D25:D28)</f>
        <v>50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51763</v>
      </c>
      <c r="D31" s="371">
        <f>D29+D22</f>
        <v>41294</v>
      </c>
      <c r="E31" s="172" t="s">
        <v>521</v>
      </c>
      <c r="F31" s="187" t="s">
        <v>331</v>
      </c>
      <c r="G31" s="174">
        <f>G16+G18+G27</f>
        <v>66486</v>
      </c>
      <c r="H31" s="175">
        <f>H16+H18+H27</f>
        <v>50250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14723</v>
      </c>
      <c r="D33" s="165">
        <f>IF((H31-D31)&gt;0,H31-D31,0)</f>
        <v>8956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2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51763</v>
      </c>
      <c r="D36" s="373">
        <f>D31-D34+D35</f>
        <v>41294</v>
      </c>
      <c r="E36" s="183" t="s">
        <v>346</v>
      </c>
      <c r="F36" s="177" t="s">
        <v>347</v>
      </c>
      <c r="G36" s="188">
        <f>G35-G34+G31</f>
        <v>66486</v>
      </c>
      <c r="H36" s="189">
        <f>H35-H34+H31</f>
        <v>50250</v>
      </c>
    </row>
    <row r="37" spans="1:8" ht="15.75">
      <c r="A37" s="182" t="s">
        <v>348</v>
      </c>
      <c r="B37" s="152" t="s">
        <v>349</v>
      </c>
      <c r="C37" s="370">
        <f>IF((G36-C36)&gt;0,G36-C36,0)</f>
        <v>14723</v>
      </c>
      <c r="D37" s="371">
        <f>IF((H36-D36)&gt;0,H36-D36,0)</f>
        <v>8956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1559</v>
      </c>
      <c r="D38" s="365">
        <f>D39+D40+D41</f>
        <v>887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5">
        <v>1559</v>
      </c>
      <c r="D39" s="235">
        <v>887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13164</v>
      </c>
      <c r="D42" s="165">
        <f>+IF((H36-D36-D38)&gt;0,H36-D36-D38,0)</f>
        <v>8069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5">
        <v>85</v>
      </c>
      <c r="D43" s="235">
        <v>17</v>
      </c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13079</v>
      </c>
      <c r="D44" s="189">
        <f>IF(H42=0,IF(D42-D43&gt;0,D42-D43+H43,0),IF(H42-H43&lt;0,H43-H42+D42,0))</f>
        <v>8052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6">
        <f>C36+C38+C42</f>
        <v>66486</v>
      </c>
      <c r="D45" s="367">
        <f>D36+D38+D42</f>
        <v>50250</v>
      </c>
      <c r="E45" s="191" t="s">
        <v>373</v>
      </c>
      <c r="F45" s="193" t="s">
        <v>374</v>
      </c>
      <c r="G45" s="366">
        <f>G42+G36</f>
        <v>66486</v>
      </c>
      <c r="H45" s="367">
        <f>H42+H36</f>
        <v>50250</v>
      </c>
    </row>
    <row r="46" spans="1:8" ht="15">
      <c r="A46" s="30"/>
      <c r="B46" s="301"/>
      <c r="C46" s="302"/>
      <c r="D46" s="302"/>
      <c r="E46" s="303"/>
      <c r="F46" s="30"/>
      <c r="G46" s="302"/>
      <c r="H46" s="302"/>
    </row>
    <row r="47" spans="1:8" ht="1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">
      <c r="A48" s="30"/>
      <c r="B48" s="301"/>
      <c r="C48" s="302"/>
      <c r="D48" s="302"/>
      <c r="E48" s="303"/>
      <c r="F48" s="30"/>
      <c r="G48" s="302"/>
      <c r="H48" s="302"/>
    </row>
    <row r="49" spans="1:8" ht="1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">
      <c r="A50" s="427" t="s">
        <v>638</v>
      </c>
      <c r="B50" s="435">
        <f>pdeReportingDate</f>
        <v>45071</v>
      </c>
      <c r="C50" s="435"/>
      <c r="D50" s="435"/>
      <c r="E50" s="435"/>
      <c r="F50" s="435"/>
      <c r="G50" s="435"/>
      <c r="H50" s="435"/>
      <c r="M50" s="74"/>
    </row>
    <row r="51" spans="1:13" s="35" customFormat="1" ht="1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">
      <c r="A59" s="429"/>
      <c r="B59" s="434"/>
      <c r="C59" s="434"/>
      <c r="D59" s="434"/>
      <c r="E59" s="434"/>
      <c r="F59" s="310"/>
      <c r="G59" s="37"/>
      <c r="H59" s="35"/>
    </row>
    <row r="60" spans="1:8" ht="15">
      <c r="A60" s="429"/>
      <c r="B60" s="434"/>
      <c r="C60" s="434"/>
      <c r="D60" s="434"/>
      <c r="E60" s="434"/>
      <c r="F60" s="310"/>
      <c r="G60" s="37"/>
      <c r="H60" s="35"/>
    </row>
    <row r="61" spans="1:8" ht="15">
      <c r="A61" s="429"/>
      <c r="B61" s="434"/>
      <c r="C61" s="434"/>
      <c r="D61" s="434"/>
      <c r="E61" s="434"/>
      <c r="F61" s="310"/>
      <c r="G61" s="37"/>
      <c r="H61" s="35"/>
    </row>
    <row r="62" spans="1:8" ht="15">
      <c r="A62" s="30"/>
      <c r="B62" s="30"/>
      <c r="C62" s="302"/>
      <c r="D62" s="302"/>
      <c r="E62" s="30"/>
      <c r="F62" s="30"/>
      <c r="G62" s="304"/>
      <c r="H62" s="304"/>
    </row>
    <row r="63" spans="1:8" ht="15">
      <c r="A63" s="30"/>
      <c r="B63" s="30"/>
      <c r="C63" s="302"/>
      <c r="D63" s="302"/>
      <c r="E63" s="30"/>
      <c r="F63" s="30"/>
      <c r="G63" s="304"/>
      <c r="H63" s="304"/>
    </row>
    <row r="64" spans="1:8" ht="15">
      <c r="A64" s="30"/>
      <c r="B64" s="30"/>
      <c r="C64" s="302"/>
      <c r="D64" s="302"/>
      <c r="E64" s="30"/>
      <c r="F64" s="30"/>
      <c r="G64" s="304"/>
      <c r="H64" s="304"/>
    </row>
    <row r="65" spans="1:8" ht="15">
      <c r="A65" s="30"/>
      <c r="B65" s="30"/>
      <c r="C65" s="302"/>
      <c r="D65" s="302"/>
      <c r="E65" s="30"/>
      <c r="F65" s="30"/>
      <c r="G65" s="304"/>
      <c r="H65" s="304"/>
    </row>
    <row r="66" spans="1:8" ht="15">
      <c r="A66" s="30"/>
      <c r="B66" s="30"/>
      <c r="C66" s="302"/>
      <c r="D66" s="302"/>
      <c r="E66" s="30"/>
      <c r="F66" s="30"/>
      <c r="G66" s="304"/>
      <c r="H66" s="304"/>
    </row>
    <row r="67" spans="1:8" ht="15">
      <c r="A67" s="30"/>
      <c r="B67" s="30"/>
      <c r="C67" s="302"/>
      <c r="D67" s="302"/>
      <c r="E67" s="30"/>
      <c r="F67" s="30"/>
      <c r="G67" s="304"/>
      <c r="H67" s="304"/>
    </row>
    <row r="68" spans="1:8" ht="15">
      <c r="A68" s="30"/>
      <c r="B68" s="30"/>
      <c r="C68" s="302"/>
      <c r="D68" s="302"/>
      <c r="E68" s="30"/>
      <c r="F68" s="30"/>
      <c r="G68" s="304"/>
      <c r="H68" s="304"/>
    </row>
    <row r="69" spans="1:8" ht="15">
      <c r="A69" s="30"/>
      <c r="B69" s="30"/>
      <c r="C69" s="302"/>
      <c r="D69" s="302"/>
      <c r="E69" s="30"/>
      <c r="F69" s="30"/>
      <c r="G69" s="304"/>
      <c r="H69" s="304"/>
    </row>
    <row r="70" spans="1:8" ht="15">
      <c r="A70" s="30"/>
      <c r="B70" s="30"/>
      <c r="C70" s="302"/>
      <c r="D70" s="302"/>
      <c r="E70" s="30"/>
      <c r="F70" s="30"/>
      <c r="G70" s="304"/>
      <c r="H70" s="304"/>
    </row>
    <row r="71" spans="1:8" ht="15">
      <c r="A71" s="30"/>
      <c r="B71" s="30"/>
      <c r="C71" s="302"/>
      <c r="D71" s="302"/>
      <c r="E71" s="30"/>
      <c r="F71" s="30"/>
      <c r="G71" s="304"/>
      <c r="H71" s="304"/>
    </row>
    <row r="72" spans="1:8" ht="15">
      <c r="A72" s="30"/>
      <c r="B72" s="30"/>
      <c r="C72" s="302"/>
      <c r="D72" s="302"/>
      <c r="E72" s="30"/>
      <c r="F72" s="30"/>
      <c r="G72" s="304"/>
      <c r="H72" s="304"/>
    </row>
    <row r="73" spans="1:8" ht="15">
      <c r="A73" s="30"/>
      <c r="B73" s="30"/>
      <c r="C73" s="302"/>
      <c r="D73" s="302"/>
      <c r="E73" s="30"/>
      <c r="F73" s="30"/>
      <c r="G73" s="304"/>
      <c r="H73" s="304"/>
    </row>
    <row r="74" spans="1:8" ht="15">
      <c r="A74" s="30"/>
      <c r="B74" s="30"/>
      <c r="C74" s="302"/>
      <c r="D74" s="302"/>
      <c r="E74" s="30"/>
      <c r="F74" s="30"/>
      <c r="G74" s="304"/>
      <c r="H74" s="304"/>
    </row>
    <row r="75" spans="1:8" ht="15">
      <c r="A75" s="30"/>
      <c r="B75" s="30"/>
      <c r="C75" s="302"/>
      <c r="D75" s="302"/>
      <c r="E75" s="30"/>
      <c r="F75" s="30"/>
      <c r="G75" s="304"/>
      <c r="H75" s="304"/>
    </row>
    <row r="76" spans="1:8" ht="15">
      <c r="A76" s="30"/>
      <c r="B76" s="30"/>
      <c r="C76" s="302"/>
      <c r="D76" s="302"/>
      <c r="E76" s="30"/>
      <c r="F76" s="30"/>
      <c r="G76" s="304"/>
      <c r="H76" s="304"/>
    </row>
    <row r="77" spans="1:8" ht="15">
      <c r="A77" s="30"/>
      <c r="B77" s="30"/>
      <c r="C77" s="302"/>
      <c r="D77" s="302"/>
      <c r="E77" s="30"/>
      <c r="F77" s="30"/>
      <c r="G77" s="304"/>
      <c r="H77" s="304"/>
    </row>
    <row r="78" spans="1:8" ht="15">
      <c r="A78" s="30"/>
      <c r="B78" s="30"/>
      <c r="C78" s="302"/>
      <c r="D78" s="302"/>
      <c r="E78" s="30"/>
      <c r="F78" s="30"/>
      <c r="G78" s="304"/>
      <c r="H78" s="304"/>
    </row>
    <row r="79" spans="1:8" ht="15">
      <c r="A79" s="30"/>
      <c r="B79" s="30"/>
      <c r="C79" s="302"/>
      <c r="D79" s="302"/>
      <c r="E79" s="30"/>
      <c r="F79" s="30"/>
      <c r="G79" s="304"/>
      <c r="H79" s="304"/>
    </row>
    <row r="80" spans="1:8" ht="15">
      <c r="A80" s="30"/>
      <c r="B80" s="30"/>
      <c r="C80" s="302"/>
      <c r="D80" s="302"/>
      <c r="E80" s="30"/>
      <c r="F80" s="30"/>
      <c r="G80" s="304"/>
      <c r="H80" s="304"/>
    </row>
    <row r="81" spans="1:8" ht="15">
      <c r="A81" s="30"/>
      <c r="B81" s="30"/>
      <c r="C81" s="302"/>
      <c r="D81" s="302"/>
      <c r="E81" s="30"/>
      <c r="F81" s="30"/>
      <c r="G81" s="304"/>
      <c r="H81" s="304"/>
    </row>
    <row r="82" spans="1:8" ht="15">
      <c r="A82" s="30"/>
      <c r="B82" s="30"/>
      <c r="C82" s="302"/>
      <c r="D82" s="302"/>
      <c r="E82" s="30"/>
      <c r="F82" s="30"/>
      <c r="G82" s="304"/>
      <c r="H82" s="304"/>
    </row>
    <row r="83" spans="1:8" ht="15">
      <c r="A83" s="30"/>
      <c r="B83" s="30"/>
      <c r="C83" s="302"/>
      <c r="D83" s="302"/>
      <c r="E83" s="30"/>
      <c r="F83" s="30"/>
      <c r="G83" s="304"/>
      <c r="H83" s="304"/>
    </row>
    <row r="84" spans="1:8" ht="15">
      <c r="A84" s="30"/>
      <c r="B84" s="30"/>
      <c r="C84" s="302"/>
      <c r="D84" s="302"/>
      <c r="E84" s="30"/>
      <c r="F84" s="30"/>
      <c r="G84" s="304"/>
      <c r="H84" s="304"/>
    </row>
    <row r="85" spans="1:8" ht="15">
      <c r="A85" s="30"/>
      <c r="B85" s="30"/>
      <c r="C85" s="302"/>
      <c r="D85" s="302"/>
      <c r="E85" s="30"/>
      <c r="F85" s="30"/>
      <c r="G85" s="304"/>
      <c r="H85" s="304"/>
    </row>
    <row r="86" spans="1:8" ht="15">
      <c r="A86" s="30"/>
      <c r="B86" s="30"/>
      <c r="C86" s="302"/>
      <c r="D86" s="302"/>
      <c r="E86" s="30"/>
      <c r="F86" s="30"/>
      <c r="G86" s="304"/>
      <c r="H86" s="304"/>
    </row>
    <row r="87" spans="1:8" ht="15">
      <c r="A87" s="30"/>
      <c r="B87" s="30"/>
      <c r="C87" s="302"/>
      <c r="D87" s="302"/>
      <c r="E87" s="30"/>
      <c r="F87" s="30"/>
      <c r="G87" s="304"/>
      <c r="H87" s="304"/>
    </row>
    <row r="88" spans="1:8" ht="15">
      <c r="A88" s="30"/>
      <c r="B88" s="30"/>
      <c r="C88" s="302"/>
      <c r="D88" s="302"/>
      <c r="E88" s="30"/>
      <c r="F88" s="30"/>
      <c r="G88" s="304"/>
      <c r="H88" s="304"/>
    </row>
    <row r="89" spans="1:8" ht="15">
      <c r="A89" s="30"/>
      <c r="B89" s="30"/>
      <c r="C89" s="302"/>
      <c r="D89" s="302"/>
      <c r="E89" s="30"/>
      <c r="F89" s="30"/>
      <c r="G89" s="304"/>
      <c r="H89" s="304"/>
    </row>
    <row r="90" spans="1:8" ht="15">
      <c r="A90" s="30"/>
      <c r="B90" s="30"/>
      <c r="C90" s="302"/>
      <c r="D90" s="302"/>
      <c r="E90" s="30"/>
      <c r="F90" s="30"/>
      <c r="G90" s="304"/>
      <c r="H90" s="304"/>
    </row>
    <row r="91" spans="1:8" ht="15">
      <c r="A91" s="30"/>
      <c r="B91" s="30"/>
      <c r="C91" s="302"/>
      <c r="D91" s="302"/>
      <c r="E91" s="30"/>
      <c r="F91" s="30"/>
      <c r="G91" s="304"/>
      <c r="H91" s="304"/>
    </row>
    <row r="92" spans="1:8" ht="15">
      <c r="A92" s="30"/>
      <c r="B92" s="30"/>
      <c r="C92" s="302"/>
      <c r="D92" s="302"/>
      <c r="E92" s="30"/>
      <c r="F92" s="30"/>
      <c r="G92" s="304"/>
      <c r="H92" s="304"/>
    </row>
    <row r="93" spans="1:8" ht="15">
      <c r="A93" s="30"/>
      <c r="B93" s="30"/>
      <c r="C93" s="302"/>
      <c r="D93" s="302"/>
      <c r="E93" s="30"/>
      <c r="F93" s="30"/>
      <c r="G93" s="304"/>
      <c r="H93" s="304"/>
    </row>
    <row r="94" spans="1:8" ht="15">
      <c r="A94" s="30"/>
      <c r="B94" s="30"/>
      <c r="C94" s="302"/>
      <c r="D94" s="302"/>
      <c r="E94" s="30"/>
      <c r="F94" s="30"/>
      <c r="G94" s="304"/>
      <c r="H94" s="304"/>
    </row>
    <row r="95" spans="1:8" ht="15">
      <c r="A95" s="30"/>
      <c r="B95" s="30"/>
      <c r="C95" s="302"/>
      <c r="D95" s="302"/>
      <c r="E95" s="30"/>
      <c r="F95" s="30"/>
      <c r="G95" s="304"/>
      <c r="H95" s="304"/>
    </row>
    <row r="96" spans="1:8" ht="15">
      <c r="A96" s="30"/>
      <c r="B96" s="30"/>
      <c r="C96" s="302"/>
      <c r="D96" s="302"/>
      <c r="E96" s="30"/>
      <c r="F96" s="30"/>
      <c r="G96" s="304"/>
      <c r="H96" s="304"/>
    </row>
    <row r="97" spans="1:8" ht="15">
      <c r="A97" s="30"/>
      <c r="B97" s="30"/>
      <c r="C97" s="302"/>
      <c r="D97" s="302"/>
      <c r="E97" s="30"/>
      <c r="F97" s="30"/>
      <c r="G97" s="304"/>
      <c r="H97" s="304"/>
    </row>
    <row r="98" spans="1:8" ht="15">
      <c r="A98" s="30"/>
      <c r="B98" s="30"/>
      <c r="C98" s="302"/>
      <c r="D98" s="302"/>
      <c r="E98" s="30"/>
      <c r="F98" s="30"/>
      <c r="G98" s="304"/>
      <c r="H98" s="304"/>
    </row>
    <row r="99" spans="1:8" ht="15">
      <c r="A99" s="30"/>
      <c r="B99" s="30"/>
      <c r="C99" s="302"/>
      <c r="D99" s="302"/>
      <c r="E99" s="30"/>
      <c r="F99" s="30"/>
      <c r="G99" s="304"/>
      <c r="H99" s="304"/>
    </row>
    <row r="100" spans="1:8" ht="15">
      <c r="A100" s="30"/>
      <c r="B100" s="30"/>
      <c r="C100" s="302"/>
      <c r="D100" s="302"/>
      <c r="E100" s="30"/>
      <c r="F100" s="30"/>
      <c r="G100" s="304"/>
      <c r="H100" s="304"/>
    </row>
    <row r="101" spans="1:8" ht="15">
      <c r="A101" s="30"/>
      <c r="B101" s="30"/>
      <c r="C101" s="302"/>
      <c r="D101" s="302"/>
      <c r="E101" s="30"/>
      <c r="F101" s="30"/>
      <c r="G101" s="304"/>
      <c r="H101" s="304"/>
    </row>
    <row r="102" spans="1:8" ht="15">
      <c r="A102" s="30"/>
      <c r="B102" s="30"/>
      <c r="C102" s="302"/>
      <c r="D102" s="302"/>
      <c r="E102" s="30"/>
      <c r="F102" s="30"/>
      <c r="G102" s="304"/>
      <c r="H102" s="304"/>
    </row>
    <row r="103" spans="1:8" ht="15">
      <c r="A103" s="30"/>
      <c r="B103" s="30"/>
      <c r="C103" s="302"/>
      <c r="D103" s="302"/>
      <c r="E103" s="30"/>
      <c r="F103" s="30"/>
      <c r="G103" s="304"/>
      <c r="H103" s="304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">
      <c r="A6" s="53" t="str">
        <f>CONCATENATE("към ",TEXT(endDate,"dd.mm.yyyy")," г.")</f>
        <v>към 31.03.2023 г.</v>
      </c>
      <c r="B6" s="257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68374</v>
      </c>
      <c r="D11" s="119">
        <v>51654</v>
      </c>
      <c r="E11" s="99"/>
      <c r="F11" s="99"/>
    </row>
    <row r="12" spans="1:13" ht="15">
      <c r="A12" s="198" t="s">
        <v>380</v>
      </c>
      <c r="B12" s="100" t="s">
        <v>381</v>
      </c>
      <c r="C12" s="119">
        <v>-38465</v>
      </c>
      <c r="D12" s="119">
        <v>-36223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-13616</v>
      </c>
      <c r="D14" s="119">
        <v>-10927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-70</v>
      </c>
      <c r="D15" s="119">
        <v>-41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-1105</v>
      </c>
      <c r="D16" s="119">
        <v>-878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-17</v>
      </c>
      <c r="D19" s="119">
        <v>-5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f>-781+8973</f>
        <v>8192</v>
      </c>
      <c r="D20" s="119">
        <v>29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3">
        <f>SUM(C11:C20)</f>
        <v>23293</v>
      </c>
      <c r="D21" s="394">
        <f>SUM(D11:D20)</f>
        <v>3609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-4252</v>
      </c>
      <c r="D23" s="119">
        <v>-7960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8</v>
      </c>
      <c r="D24" s="119">
        <v>20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-15446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3">
        <f>SUM(C23:C32)</f>
        <v>-19690</v>
      </c>
      <c r="D33" s="394">
        <f>SUM(D23:D32)</f>
        <v>-7940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-12</v>
      </c>
      <c r="D39" s="119">
        <v>-11</v>
      </c>
      <c r="E39" s="99"/>
      <c r="F39" s="99"/>
    </row>
    <row r="40" spans="1:6" ht="30.75">
      <c r="A40" s="198" t="s">
        <v>433</v>
      </c>
      <c r="B40" s="100" t="s">
        <v>434</v>
      </c>
      <c r="C40" s="119"/>
      <c r="D40" s="119"/>
      <c r="E40" s="99"/>
      <c r="F40" s="99"/>
    </row>
    <row r="41" spans="1:6" ht="15">
      <c r="A41" s="198" t="s">
        <v>435</v>
      </c>
      <c r="B41" s="100" t="s">
        <v>436</v>
      </c>
      <c r="C41" s="119">
        <v>-496</v>
      </c>
      <c r="D41" s="119">
        <v>-417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5">
        <f>SUM(C35:C42)</f>
        <v>-508</v>
      </c>
      <c r="D43" s="396">
        <f>SUM(D35:D42)</f>
        <v>-428</v>
      </c>
      <c r="E43" s="99"/>
      <c r="F43" s="99"/>
      <c r="G43" s="102"/>
      <c r="H43" s="102"/>
    </row>
    <row r="44" spans="1:8" ht="15.75" thickBot="1">
      <c r="A44" s="219" t="s">
        <v>441</v>
      </c>
      <c r="B44" s="220" t="s">
        <v>442</v>
      </c>
      <c r="C44" s="226">
        <f>C43+C33+C21</f>
        <v>3095</v>
      </c>
      <c r="D44" s="227">
        <f>D43+D33+D21</f>
        <v>-4759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24567</v>
      </c>
      <c r="D45" s="228">
        <v>20051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27662</v>
      </c>
      <c r="D46" s="230">
        <f>D45+D44</f>
        <v>15292</v>
      </c>
      <c r="E46" s="99"/>
      <c r="F46" s="99"/>
      <c r="G46" s="102"/>
      <c r="H46" s="102"/>
    </row>
    <row r="47" spans="1:8" ht="15">
      <c r="A47" s="223" t="s">
        <v>447</v>
      </c>
      <c r="B47" s="231" t="s">
        <v>448</v>
      </c>
      <c r="C47" s="218">
        <v>27662</v>
      </c>
      <c r="D47" s="218">
        <v>15292</v>
      </c>
      <c r="E47" s="99"/>
      <c r="F47" s="99"/>
      <c r="G47" s="102"/>
      <c r="H47" s="102"/>
    </row>
    <row r="48" spans="1:8" ht="15.7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5" t="s">
        <v>629</v>
      </c>
      <c r="G50" s="102"/>
      <c r="H50" s="102"/>
    </row>
    <row r="51" spans="1:8" ht="15">
      <c r="A51" s="439" t="s">
        <v>635</v>
      </c>
      <c r="B51" s="439"/>
      <c r="C51" s="439"/>
      <c r="D51" s="439"/>
      <c r="G51" s="102"/>
      <c r="H51" s="102"/>
    </row>
    <row r="52" spans="1:8" ht="15">
      <c r="A52" s="426"/>
      <c r="B52" s="426"/>
      <c r="C52" s="426"/>
      <c r="D52" s="426"/>
      <c r="G52" s="102"/>
      <c r="H52" s="102"/>
    </row>
    <row r="53" spans="1:8" ht="15">
      <c r="A53" s="426"/>
      <c r="B53" s="426"/>
      <c r="C53" s="426"/>
      <c r="D53" s="426"/>
      <c r="G53" s="102"/>
      <c r="H53" s="102"/>
    </row>
    <row r="54" spans="1:13" s="35" customFormat="1" ht="15">
      <c r="A54" s="427" t="s">
        <v>638</v>
      </c>
      <c r="B54" s="435">
        <f>pdeReportingDate</f>
        <v>45071</v>
      </c>
      <c r="C54" s="435"/>
      <c r="D54" s="435"/>
      <c r="E54" s="435"/>
      <c r="F54" s="430"/>
      <c r="G54" s="430"/>
      <c r="H54" s="430"/>
      <c r="M54" s="74"/>
    </row>
    <row r="55" spans="1:13" s="35" customFormat="1" ht="1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">
      <c r="A63" s="429"/>
      <c r="B63" s="434"/>
      <c r="C63" s="434"/>
      <c r="D63" s="434"/>
      <c r="E63" s="434"/>
      <c r="F63" s="310"/>
      <c r="G63" s="37"/>
      <c r="H63" s="35"/>
    </row>
    <row r="64" spans="1:8" ht="15">
      <c r="A64" s="429"/>
      <c r="B64" s="434"/>
      <c r="C64" s="434"/>
      <c r="D64" s="434"/>
      <c r="E64" s="434"/>
      <c r="F64" s="310"/>
      <c r="G64" s="37"/>
      <c r="H64" s="35"/>
    </row>
    <row r="65" spans="1:8" ht="15">
      <c r="A65" s="429"/>
      <c r="B65" s="434"/>
      <c r="C65" s="434"/>
      <c r="D65" s="434"/>
      <c r="E65" s="434"/>
      <c r="F65" s="310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31" sqref="M3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0.7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0.7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0.7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5.7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11037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52006</v>
      </c>
      <c r="J13" s="320">
        <f>'1-Баланс'!H30+'1-Баланс'!H33</f>
        <v>0</v>
      </c>
      <c r="K13" s="321"/>
      <c r="L13" s="320">
        <f>SUM(C13:K13)</f>
        <v>109049</v>
      </c>
      <c r="M13" s="322">
        <f>'1-Баланс'!H40</f>
        <v>281</v>
      </c>
      <c r="N13" s="88"/>
    </row>
    <row r="14" spans="1:14" ht="1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0.7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11037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52006</v>
      </c>
      <c r="J17" s="388">
        <f t="shared" si="2"/>
        <v>0</v>
      </c>
      <c r="K17" s="388">
        <f t="shared" si="2"/>
        <v>0</v>
      </c>
      <c r="L17" s="320">
        <f t="shared" si="1"/>
        <v>109049</v>
      </c>
      <c r="M17" s="389">
        <f t="shared" si="2"/>
        <v>281</v>
      </c>
      <c r="N17" s="91"/>
    </row>
    <row r="18" spans="1:14" ht="1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13079</v>
      </c>
      <c r="J18" s="320">
        <f>+'1-Баланс'!G33</f>
        <v>0</v>
      </c>
      <c r="K18" s="321"/>
      <c r="L18" s="320">
        <f t="shared" si="1"/>
        <v>13079</v>
      </c>
      <c r="M18" s="374">
        <v>85</v>
      </c>
      <c r="N18" s="91"/>
    </row>
    <row r="19" spans="1:14" ht="1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0.7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0.7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">
      <c r="A30" s="285" t="s">
        <v>499</v>
      </c>
      <c r="B30" s="286" t="s">
        <v>500</v>
      </c>
      <c r="C30" s="235"/>
      <c r="D30" s="235"/>
      <c r="E30" s="235">
        <v>-8</v>
      </c>
      <c r="F30" s="235"/>
      <c r="G30" s="235"/>
      <c r="H30" s="235"/>
      <c r="I30" s="235">
        <v>8</v>
      </c>
      <c r="J30" s="235"/>
      <c r="K30" s="235"/>
      <c r="L30" s="320">
        <f t="shared" si="1"/>
        <v>0</v>
      </c>
      <c r="M30" s="236">
        <v>820</v>
      </c>
      <c r="N30" s="91"/>
    </row>
    <row r="31" spans="1:14" ht="1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11029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65093</v>
      </c>
      <c r="J31" s="388">
        <f t="shared" si="6"/>
        <v>0</v>
      </c>
      <c r="K31" s="388">
        <f t="shared" si="6"/>
        <v>0</v>
      </c>
      <c r="L31" s="320">
        <f t="shared" si="1"/>
        <v>122128</v>
      </c>
      <c r="M31" s="389">
        <f t="shared" si="6"/>
        <v>1186</v>
      </c>
      <c r="N31" s="88"/>
    </row>
    <row r="32" spans="1:14" ht="30.7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1.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1.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11029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65093</v>
      </c>
      <c r="J34" s="323">
        <f t="shared" si="7"/>
        <v>0</v>
      </c>
      <c r="K34" s="323">
        <f t="shared" si="7"/>
        <v>0</v>
      </c>
      <c r="L34" s="386">
        <f t="shared" si="1"/>
        <v>122128</v>
      </c>
      <c r="M34" s="324">
        <f>M31+M32+M33</f>
        <v>1186</v>
      </c>
      <c r="N34" s="91"/>
    </row>
    <row r="35" spans="1:14" ht="1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">
      <c r="A38" s="427" t="s">
        <v>638</v>
      </c>
      <c r="B38" s="435">
        <f>pdeReportingDate</f>
        <v>45071</v>
      </c>
      <c r="C38" s="435"/>
      <c r="D38" s="435"/>
      <c r="E38" s="435"/>
      <c r="F38" s="435"/>
      <c r="G38" s="435"/>
      <c r="H38" s="435"/>
      <c r="M38" s="91"/>
    </row>
    <row r="39" spans="1:13" ht="1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">
      <c r="A49" s="429"/>
      <c r="B49" s="434"/>
      <c r="C49" s="434"/>
      <c r="D49" s="434"/>
      <c r="E49" s="434"/>
      <c r="F49" s="310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">
      <c r="A3" s="398" t="str">
        <f>CONCATENATE("за периода от ",TEXT(startDate,"dd.mm.yyyy г.")," до ",TEXT(endDate,"dd.mm.yyyy г."))</f>
        <v>за периода от 01.01.2023 г. до 31.03.2023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175513</v>
      </c>
      <c r="D6" s="410">
        <f aca="true" t="shared" si="0" ref="D6:D15">C6-E6</f>
        <v>0</v>
      </c>
      <c r="E6" s="409">
        <f>'1-Баланс'!G95</f>
        <v>175513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122128</v>
      </c>
      <c r="D7" s="410">
        <f t="shared" si="0"/>
        <v>82695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13079</v>
      </c>
      <c r="D8" s="410">
        <f t="shared" si="0"/>
        <v>0</v>
      </c>
      <c r="E8" s="409">
        <f>ABS('2-Отчет за доходите'!C44)-ABS('2-Отчет за доходите'!G44)</f>
        <v>13079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24567</v>
      </c>
      <c r="D9" s="410">
        <f t="shared" si="0"/>
        <v>0</v>
      </c>
      <c r="E9" s="409">
        <f>'3-Отчет за паричния поток'!C45</f>
        <v>24567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27662</v>
      </c>
      <c r="D10" s="410">
        <f t="shared" si="0"/>
        <v>0</v>
      </c>
      <c r="E10" s="409">
        <f>'3-Отчет за паричния поток'!C46</f>
        <v>27662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122128</v>
      </c>
      <c r="D11" s="410">
        <f t="shared" si="0"/>
        <v>0</v>
      </c>
      <c r="E11" s="409">
        <f>'4-Отчет за собствения капитал'!L34</f>
        <v>122128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355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0.7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0.19735333172380493</v>
      </c>
      <c r="E3" s="381"/>
    </row>
    <row r="4" spans="1:4" ht="30.7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0.10709255862701428</v>
      </c>
    </row>
    <row r="5" spans="1:4" ht="30.7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0.2505603555623671</v>
      </c>
    </row>
    <row r="6" spans="1:4" ht="30.7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0.07451869662076313</v>
      </c>
    </row>
    <row r="7" spans="1:4" ht="24" customHeight="1">
      <c r="A7" s="380" t="s">
        <v>558</v>
      </c>
      <c r="B7" s="378"/>
      <c r="C7" s="378"/>
      <c r="D7" s="379"/>
    </row>
    <row r="8" spans="1:4" ht="30.7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1.2844309642022294</v>
      </c>
    </row>
    <row r="9" spans="1:4" ht="24" customHeight="1">
      <c r="A9" s="380" t="s">
        <v>561</v>
      </c>
      <c r="B9" s="378"/>
      <c r="C9" s="378"/>
      <c r="D9" s="379"/>
    </row>
    <row r="10" spans="1:4" ht="30.75">
      <c r="A10" s="328">
        <v>6</v>
      </c>
      <c r="B10" s="326" t="s">
        <v>562</v>
      </c>
      <c r="C10" s="327" t="s">
        <v>563</v>
      </c>
      <c r="D10" s="376">
        <f>'1-Баланс'!C94/'1-Баланс'!G79</f>
        <v>2.3527299533910395</v>
      </c>
    </row>
    <row r="11" spans="1:4" ht="62.25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1.57015124132027</v>
      </c>
    </row>
    <row r="12" spans="1:4" ht="46.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0.6578046228479026</v>
      </c>
    </row>
    <row r="13" spans="1:4" ht="30.75">
      <c r="A13" s="328">
        <v>9</v>
      </c>
      <c r="B13" s="326" t="s">
        <v>566</v>
      </c>
      <c r="C13" s="327" t="s">
        <v>567</v>
      </c>
      <c r="D13" s="376">
        <f>'1-Баланс'!C92/'1-Баланс'!G79</f>
        <v>0.6578046228479026</v>
      </c>
    </row>
    <row r="14" spans="1:4" ht="24" customHeight="1">
      <c r="A14" s="380" t="s">
        <v>568</v>
      </c>
      <c r="B14" s="378"/>
      <c r="C14" s="378"/>
      <c r="D14" s="379"/>
    </row>
    <row r="15" spans="1:4" ht="30.7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0.7521421842902702</v>
      </c>
    </row>
    <row r="16" spans="1:4" ht="30.7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0.3775902639690507</v>
      </c>
    </row>
    <row r="17" spans="1:4" ht="24" customHeight="1">
      <c r="A17" s="380" t="s">
        <v>571</v>
      </c>
      <c r="B17" s="378"/>
      <c r="C17" s="378"/>
      <c r="D17" s="379"/>
    </row>
    <row r="18" spans="1:4" ht="30.7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0.0767113967113967</v>
      </c>
    </row>
    <row r="19" spans="1:4" ht="30.75">
      <c r="A19" s="328">
        <v>13</v>
      </c>
      <c r="B19" s="326" t="s">
        <v>596</v>
      </c>
      <c r="C19" s="327" t="s">
        <v>572</v>
      </c>
      <c r="D19" s="376">
        <f>D4/D5</f>
        <v>0.42741222324118955</v>
      </c>
    </row>
    <row r="20" spans="1:4" ht="30.75">
      <c r="A20" s="328">
        <v>14</v>
      </c>
      <c r="B20" s="326" t="s">
        <v>573</v>
      </c>
      <c r="C20" s="327" t="s">
        <v>574</v>
      </c>
      <c r="D20" s="376">
        <f>D6/D5</f>
        <v>0.29740816919544416</v>
      </c>
    </row>
    <row r="21" spans="1:5" ht="1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14724</v>
      </c>
      <c r="E21" s="431"/>
    </row>
    <row r="22" spans="1:4" ht="46.5">
      <c r="A22" s="328">
        <v>16</v>
      </c>
      <c r="B22" s="326" t="s">
        <v>579</v>
      </c>
      <c r="C22" s="327" t="s">
        <v>580</v>
      </c>
      <c r="D22" s="382">
        <f>D21/'1-Баланс'!G37</f>
        <v>0.1205620332765623</v>
      </c>
    </row>
    <row r="23" spans="1:4" ht="30.7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0.26086694943296335</v>
      </c>
    </row>
    <row r="24" spans="1:4" ht="30.7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3.0096286900369003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">
      <c r="C2" s="316"/>
      <c r="F2" s="262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5048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20476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22658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3367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581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204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1643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53977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23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63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1508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1594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16386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16386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355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355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355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4256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4256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76576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18332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1490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1121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11597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32540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35067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458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2768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73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38366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108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27554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27662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369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98937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175513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11029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17602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52014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52014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13079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65093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122128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1186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21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8317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8338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1809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10147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5480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35560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231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31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20547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1326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6674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1396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5355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1012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42052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42052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175513</v>
      </c>
    </row>
    <row r="126" spans="3:6" s="259" customFormat="1" ht="15">
      <c r="C126" s="316"/>
      <c r="F126" s="262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29094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3913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2620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12362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2694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693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284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51660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40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62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103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51763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14723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51763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14723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1559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1559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13164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85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13079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66486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62682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2747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413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430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66272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198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198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16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66486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66486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66486</v>
      </c>
    </row>
    <row r="180" spans="3:6" s="259" customFormat="1" ht="15">
      <c r="C180" s="316"/>
      <c r="F180" s="262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68374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-38465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-13616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-70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-1105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-17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8192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23293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-4252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8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-15446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-19690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-12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-496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-508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45016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3095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45016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24567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45016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27662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45016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27662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45016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">
      <c r="C217" s="316"/>
      <c r="F217" s="262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45016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45016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45016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45016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45016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45016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45016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45016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45016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45016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45016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45016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45016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45016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45016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45016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45016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45016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45016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45016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45016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45016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45016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45016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45016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45016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45016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45016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45016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45016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45016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45016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45016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45016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45016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45016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45016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45016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45016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45016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45016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45016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45016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45016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45016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11037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45016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45016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45016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45016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11037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45016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45016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45016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45016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45016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45016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45016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45016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45016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45016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45016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45016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45016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-8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45016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11029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45016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45016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45016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11029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45016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45016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45016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45016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45016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45016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45016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45016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45016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45016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45016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45016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45016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45016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45016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45016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45016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45016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45016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45016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45016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45016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45016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45016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45016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45016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45016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45016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45016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45016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45016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45016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45016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45016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45016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45016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45016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45016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45016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45016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45016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45016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45016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45016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45016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45016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45016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45016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45016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45016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45016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45016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45016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45016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45016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45016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45016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45016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45016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45016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45016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45016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45016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45016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45016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45016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45016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52006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45016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45016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45016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45016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52006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45016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13079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45016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45016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45016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45016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45016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45016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45016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45016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45016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45016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45016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45016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8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45016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65093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45016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45016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45016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65093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45016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45016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45016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45016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45016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45016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45016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45016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45016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45016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45016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45016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45016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45016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45016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45016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45016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45016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45016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45016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45016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45016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45016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45016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45016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45016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45016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45016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45016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45016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45016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45016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45016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45016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45016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45016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45016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45016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45016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45016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45016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45016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45016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45016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45016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109049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45016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45016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45016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45016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109049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45016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13079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45016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45016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45016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45016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45016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45016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45016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45016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45016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45016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45016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45016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0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45016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122128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45016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45016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45016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122128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45016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281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45016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45016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45016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45016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281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45016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85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45016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45016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45016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45016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45016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45016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45016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45016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45016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45016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45016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45016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820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45016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1186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45016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45016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45016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1186</v>
      </c>
    </row>
    <row r="460" spans="3:6" s="259" customFormat="1" ht="15">
      <c r="C460" s="316"/>
      <c r="F460" s="262" t="s">
        <v>545</v>
      </c>
    </row>
    <row r="461" spans="3:6" s="259" customFormat="1" ht="15">
      <c r="C461" s="316"/>
      <c r="F461" s="262" t="s">
        <v>542</v>
      </c>
    </row>
    <row r="462" spans="3:6" s="259" customFormat="1" ht="15">
      <c r="C462" s="316"/>
      <c r="F462" s="262" t="s">
        <v>543</v>
      </c>
    </row>
    <row r="463" spans="3:6" s="259" customFormat="1" ht="1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2023-05-25T05:10:37Z</cp:lastPrinted>
  <dcterms:created xsi:type="dcterms:W3CDTF">2006-09-16T00:00:00Z</dcterms:created>
  <dcterms:modified xsi:type="dcterms:W3CDTF">2023-05-25T08:26:58Z</dcterms:modified>
  <cp:category/>
  <cp:version/>
  <cp:contentType/>
  <cp:contentStatus/>
</cp:coreProperties>
</file>