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<sst xmlns="http://schemas.openxmlformats.org/spreadsheetml/2006/main" count="2000" uniqueCount="697">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</sst>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44651</v>
      </c>
    </row>
    <row r="2" spans="1:27" ht="15.75">
      <c r="A2" s="462" t="s">
        <v>678</v>
      </c>
      <c r="B2" s="457"/>
      <c r="Z2" s="474">
        <v>2</v>
      </c>
      <c r="AA2" s="475">
        <f>IF(ISBLANK(_pdeReportingDate),"",_pdeReportingDate)</f>
        <v>44671</v>
      </c>
    </row>
    <row r="3" spans="1:27" ht="15.7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.75">
      <c r="A4" s="456" t="s">
        <v>679</v>
      </c>
      <c r="B4" s="457"/>
    </row>
    <row r="5" spans="1:2" ht="31.5">
      <c r="A5" s="460" t="s">
        <v>680</v>
      </c>
      <c r="B5" s="46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44562</v>
      </c>
    </row>
    <row r="10" spans="1:2" ht="15.75">
      <c r="A10" s="7" t="s">
        <v>2</v>
      </c>
      <c r="B10" s="354">
        <v>44651</v>
      </c>
    </row>
    <row r="11" spans="1:2" ht="15.75">
      <c r="A11" s="7" t="s">
        <v>666</v>
      </c>
      <c r="B11" s="354">
        <v>44671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3" t="s">
        <v>682</v>
      </c>
    </row>
    <row r="15" spans="1:2" ht="15.75">
      <c r="A15" s="10" t="s">
        <v>658</v>
      </c>
      <c r="B15" s="355" t="s">
        <v>616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684</v>
      </c>
    </row>
    <row r="18" spans="1:2" ht="15.75">
      <c r="A18" s="7" t="s">
        <v>613</v>
      </c>
      <c r="B18" s="353" t="s">
        <v>685</v>
      </c>
    </row>
    <row r="19" spans="1:2" ht="15.75">
      <c r="A19" s="7" t="s">
        <v>4</v>
      </c>
      <c r="B19" s="353" t="s">
        <v>686</v>
      </c>
    </row>
    <row r="20" spans="1:2" ht="15.75">
      <c r="A20" s="7" t="s">
        <v>5</v>
      </c>
      <c r="B20" s="353" t="s">
        <v>686</v>
      </c>
    </row>
    <row r="21" spans="1:2" ht="15.75">
      <c r="A21" s="10" t="s">
        <v>6</v>
      </c>
      <c r="B21" s="355" t="s">
        <v>687</v>
      </c>
    </row>
    <row r="22" spans="1:2" ht="15.75">
      <c r="A22" s="10" t="s">
        <v>611</v>
      </c>
      <c r="B22" s="355" t="s">
        <v>688</v>
      </c>
    </row>
    <row r="23" spans="1:2" ht="15.75">
      <c r="A23" s="10" t="s">
        <v>7</v>
      </c>
      <c r="B23" s="464" t="s">
        <v>689</v>
      </c>
    </row>
    <row r="24" spans="1:2" ht="15.75">
      <c r="A24" s="10" t="s">
        <v>612</v>
      </c>
      <c r="B24" s="465" t="s">
        <v>690</v>
      </c>
    </row>
    <row r="25" spans="1:2" ht="15.75">
      <c r="A25" s="7" t="s">
        <v>615</v>
      </c>
      <c r="B25" s="466"/>
    </row>
    <row r="26" spans="1:2" ht="15.75">
      <c r="A26" s="10" t="s">
        <v>659</v>
      </c>
      <c r="B26" s="355" t="s">
        <v>691</v>
      </c>
    </row>
    <row r="27" spans="1:2" ht="15.75">
      <c r="A27" s="10" t="s">
        <v>660</v>
      </c>
      <c r="B27" s="355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94" sqref="C9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>
        <v>4984</v>
      </c>
      <c r="D12" s="138">
        <v>2503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21568</v>
      </c>
      <c r="D13" s="138">
        <v>21542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19005</v>
      </c>
      <c r="D14" s="138">
        <v>18678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3020</v>
      </c>
      <c r="D15" s="138">
        <v>3029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673</v>
      </c>
      <c r="D16" s="138">
        <v>665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211</v>
      </c>
      <c r="D17" s="138">
        <v>214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577</v>
      </c>
      <c r="D18" s="138">
        <v>513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50038</v>
      </c>
      <c r="D20" s="374">
        <f>SUM(D12:D19)</f>
        <v>47144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11036</v>
      </c>
      <c r="H21" s="137">
        <v>11050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29</v>
      </c>
      <c r="D24" s="138">
        <v>31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140</v>
      </c>
      <c r="D25" s="138">
        <v>117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17609</v>
      </c>
      <c r="H26" s="374">
        <f>H20+H21+H22</f>
        <v>17623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8">
        <v>5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173</v>
      </c>
      <c r="D28" s="374">
        <f>SUM(D24:D27)</f>
        <v>153</v>
      </c>
      <c r="E28" s="143" t="s">
        <v>84</v>
      </c>
      <c r="F28" s="80" t="s">
        <v>85</v>
      </c>
      <c r="G28" s="371">
        <f>SUM(G29:G31)</f>
        <v>32776</v>
      </c>
      <c r="H28" s="372">
        <f>SUM(H29:H31)</f>
        <v>32762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32776</v>
      </c>
      <c r="H29" s="138">
        <v>32762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7985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40761</v>
      </c>
      <c r="H34" s="374">
        <f>H28+H32+H33</f>
        <v>32762</v>
      </c>
    </row>
    <row r="35" spans="1:8" ht="15.75">
      <c r="A35" s="76" t="s">
        <v>106</v>
      </c>
      <c r="B35" s="81" t="s">
        <v>107</v>
      </c>
      <c r="C35" s="371">
        <f>SUM(C36:C39)</f>
        <v>400</v>
      </c>
      <c r="D35" s="372">
        <f>SUM(D36:D39)</f>
        <v>400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64</v>
      </c>
      <c r="D36" s="137">
        <v>64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97803</v>
      </c>
      <c r="H37" s="376">
        <f>H26+H18+H34</f>
        <v>89818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400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>
        <v>64</v>
      </c>
      <c r="H47" s="137">
        <v>64</v>
      </c>
    </row>
    <row r="48" spans="1:13" ht="15.75">
      <c r="A48" s="76" t="s">
        <v>144</v>
      </c>
      <c r="B48" s="78" t="s">
        <v>145</v>
      </c>
      <c r="C48" s="138">
        <v>3833</v>
      </c>
      <c r="D48" s="138">
        <v>3833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64</v>
      </c>
      <c r="H50" s="372">
        <f>SUM(H44:H49)</f>
        <v>64</v>
      </c>
    </row>
    <row r="51" spans="1:8" ht="15.75">
      <c r="A51" s="76" t="s">
        <v>79</v>
      </c>
      <c r="B51" s="78" t="s">
        <v>155</v>
      </c>
      <c r="C51" s="138">
        <v>4460</v>
      </c>
      <c r="D51" s="138">
        <v>1517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8293</v>
      </c>
      <c r="D52" s="374">
        <f>SUM(D48:D51)</f>
        <v>5350</v>
      </c>
      <c r="E52" s="142" t="s">
        <v>158</v>
      </c>
      <c r="F52" s="82" t="s">
        <v>159</v>
      </c>
      <c r="G52" s="138">
        <v>1613</v>
      </c>
      <c r="H52" s="138">
        <v>1613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>
        <v>125</v>
      </c>
      <c r="H54" s="138">
        <v>125</v>
      </c>
    </row>
    <row r="55" spans="1:8" ht="15.75">
      <c r="A55" s="87" t="s">
        <v>166</v>
      </c>
      <c r="B55" s="83" t="s">
        <v>167</v>
      </c>
      <c r="C55" s="266"/>
      <c r="D55" s="267"/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58904</v>
      </c>
      <c r="D56" s="378">
        <f>D20+D21+D22+D28+D33+D46+D52+D54+D55</f>
        <v>53047</v>
      </c>
      <c r="E56" s="87" t="s">
        <v>557</v>
      </c>
      <c r="F56" s="86" t="s">
        <v>172</v>
      </c>
      <c r="G56" s="375">
        <f>G50+G52+G53+G54+G55</f>
        <v>1802</v>
      </c>
      <c r="H56" s="376">
        <f>H50+H52+H53+H54+H55</f>
        <v>1802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12464</v>
      </c>
      <c r="D59" s="138">
        <v>10784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523</v>
      </c>
      <c r="D60" s="138">
        <v>508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24781</v>
      </c>
      <c r="H61" s="372">
        <f>SUM(H62:H68)</f>
        <v>23439</v>
      </c>
    </row>
    <row r="62" spans="1:13" ht="15.75">
      <c r="A62" s="76" t="s">
        <v>186</v>
      </c>
      <c r="B62" s="81" t="s">
        <v>187</v>
      </c>
      <c r="C62" s="138">
        <v>5999</v>
      </c>
      <c r="D62" s="138">
        <v>5816</v>
      </c>
      <c r="E62" s="141" t="s">
        <v>192</v>
      </c>
      <c r="F62" s="80" t="s">
        <v>193</v>
      </c>
      <c r="G62" s="138">
        <v>509</v>
      </c>
      <c r="H62" s="138">
        <v>921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31</v>
      </c>
      <c r="H63" s="138">
        <v>43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15924</v>
      </c>
      <c r="H64" s="138">
        <v>15173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18986</v>
      </c>
      <c r="D65" s="374">
        <f>SUM(D59:D64)</f>
        <v>17108</v>
      </c>
      <c r="E65" s="76" t="s">
        <v>201</v>
      </c>
      <c r="F65" s="80" t="s">
        <v>202</v>
      </c>
      <c r="G65" s="138">
        <v>743</v>
      </c>
      <c r="H65" s="138">
        <v>701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5070</v>
      </c>
      <c r="H66" s="138">
        <v>4596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1091</v>
      </c>
      <c r="H67" s="138">
        <v>963</v>
      </c>
    </row>
    <row r="68" spans="1:8" ht="15.75">
      <c r="A68" s="76" t="s">
        <v>206</v>
      </c>
      <c r="B68" s="78" t="s">
        <v>207</v>
      </c>
      <c r="C68" s="138">
        <v>2917</v>
      </c>
      <c r="D68" s="138">
        <v>1182</v>
      </c>
      <c r="E68" s="76" t="s">
        <v>212</v>
      </c>
      <c r="F68" s="80" t="s">
        <v>213</v>
      </c>
      <c r="G68" s="138">
        <v>1413</v>
      </c>
      <c r="H68" s="138">
        <v>1042</v>
      </c>
    </row>
    <row r="69" spans="1:8" ht="15.75">
      <c r="A69" s="76" t="s">
        <v>210</v>
      </c>
      <c r="B69" s="78" t="s">
        <v>211</v>
      </c>
      <c r="C69" s="138">
        <v>26163</v>
      </c>
      <c r="D69" s="138">
        <v>23233</v>
      </c>
      <c r="E69" s="142" t="s">
        <v>79</v>
      </c>
      <c r="F69" s="80" t="s">
        <v>216</v>
      </c>
      <c r="G69" s="138">
        <v>68</v>
      </c>
      <c r="H69" s="138">
        <v>245</v>
      </c>
    </row>
    <row r="70" spans="1:8" ht="15.75">
      <c r="A70" s="76" t="s">
        <v>214</v>
      </c>
      <c r="B70" s="78" t="s">
        <v>215</v>
      </c>
      <c r="C70" s="138">
        <v>1158</v>
      </c>
      <c r="D70" s="138">
        <v>61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24849</v>
      </c>
      <c r="H71" s="374">
        <f>H59+H60+H61+H69+H70</f>
        <v>23684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1769</v>
      </c>
      <c r="D73" s="138">
        <v>1259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5</v>
      </c>
      <c r="D75" s="138">
        <v>6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32012</v>
      </c>
      <c r="D76" s="374">
        <f>SUM(D68:D75)</f>
        <v>25741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24849</v>
      </c>
      <c r="H79" s="376">
        <f>H71+H73+H75+H77</f>
        <v>23684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0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15</v>
      </c>
      <c r="D88" s="138">
        <v>15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14323</v>
      </c>
      <c r="D89" s="138">
        <v>19227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14338</v>
      </c>
      <c r="D92" s="374">
        <f>SUM(D88:D91)</f>
        <v>19242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214</v>
      </c>
      <c r="D93" s="267">
        <v>166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65550</v>
      </c>
      <c r="D94" s="378">
        <f>D65+D76+D85+D92+D93</f>
        <v>62257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124454</v>
      </c>
      <c r="D95" s="380">
        <f>D94+D56</f>
        <v>115304</v>
      </c>
      <c r="E95" s="169" t="s">
        <v>633</v>
      </c>
      <c r="F95" s="277" t="s">
        <v>268</v>
      </c>
      <c r="G95" s="379">
        <f>G37+G40+G56+G79</f>
        <v>124454</v>
      </c>
      <c r="H95" s="380">
        <f>H37+H40+H56+H79</f>
        <v>115304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9" t="s">
        <v>666</v>
      </c>
      <c r="B98" s="477">
        <f>pdeReportingDate</f>
        <v>44671</v>
      </c>
      <c r="C98" s="477"/>
      <c r="D98" s="477"/>
      <c r="E98" s="477"/>
      <c r="F98" s="477"/>
      <c r="G98" s="477"/>
      <c r="H98" s="477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2">
      <selection activeCell="C40" sqref="C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24667</v>
      </c>
      <c r="D12" s="253">
        <v>15522</v>
      </c>
      <c r="E12" s="135" t="s">
        <v>277</v>
      </c>
      <c r="F12" s="180" t="s">
        <v>278</v>
      </c>
      <c r="G12" s="253">
        <v>48565</v>
      </c>
      <c r="H12" s="253">
        <v>33088</v>
      </c>
    </row>
    <row r="13" spans="1:8" ht="15.75">
      <c r="A13" s="135" t="s">
        <v>279</v>
      </c>
      <c r="B13" s="131" t="s">
        <v>280</v>
      </c>
      <c r="C13" s="253">
        <v>2726</v>
      </c>
      <c r="D13" s="253">
        <v>2077</v>
      </c>
      <c r="E13" s="135" t="s">
        <v>281</v>
      </c>
      <c r="F13" s="180" t="s">
        <v>282</v>
      </c>
      <c r="G13" s="253"/>
      <c r="H13" s="253"/>
    </row>
    <row r="14" spans="1:8" ht="15.75">
      <c r="A14" s="135" t="s">
        <v>283</v>
      </c>
      <c r="B14" s="131" t="s">
        <v>284</v>
      </c>
      <c r="C14" s="253">
        <v>2323</v>
      </c>
      <c r="D14" s="253">
        <v>2327</v>
      </c>
      <c r="E14" s="185" t="s">
        <v>285</v>
      </c>
      <c r="F14" s="180" t="s">
        <v>286</v>
      </c>
      <c r="G14" s="253">
        <v>334</v>
      </c>
      <c r="H14" s="253">
        <v>205</v>
      </c>
    </row>
    <row r="15" spans="1:8" ht="15.75">
      <c r="A15" s="135" t="s">
        <v>287</v>
      </c>
      <c r="B15" s="131" t="s">
        <v>288</v>
      </c>
      <c r="C15" s="253">
        <v>9676</v>
      </c>
      <c r="D15" s="253">
        <v>6980</v>
      </c>
      <c r="E15" s="185" t="s">
        <v>79</v>
      </c>
      <c r="F15" s="180" t="s">
        <v>289</v>
      </c>
      <c r="G15" s="253">
        <v>591</v>
      </c>
      <c r="H15" s="253">
        <v>277</v>
      </c>
    </row>
    <row r="16" spans="1:8" ht="15.75">
      <c r="A16" s="135" t="s">
        <v>290</v>
      </c>
      <c r="B16" s="131" t="s">
        <v>291</v>
      </c>
      <c r="C16" s="253">
        <v>1886</v>
      </c>
      <c r="D16" s="253">
        <v>1425</v>
      </c>
      <c r="E16" s="176" t="s">
        <v>52</v>
      </c>
      <c r="F16" s="204" t="s">
        <v>292</v>
      </c>
      <c r="G16" s="404">
        <f>SUM(G12:G15)</f>
        <v>49490</v>
      </c>
      <c r="H16" s="405">
        <f>SUM(H12:H15)</f>
        <v>33570</v>
      </c>
    </row>
    <row r="17" spans="1:8" ht="31.5">
      <c r="A17" s="135" t="s">
        <v>293</v>
      </c>
      <c r="B17" s="131" t="s">
        <v>294</v>
      </c>
      <c r="C17" s="253">
        <v>70</v>
      </c>
      <c r="D17" s="253">
        <v>38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-210</v>
      </c>
      <c r="D18" s="253">
        <v>-194</v>
      </c>
      <c r="E18" s="174" t="s">
        <v>297</v>
      </c>
      <c r="F18" s="178" t="s">
        <v>298</v>
      </c>
      <c r="G18" s="415">
        <v>626</v>
      </c>
      <c r="H18" s="415"/>
    </row>
    <row r="19" spans="1:8" ht="15.75">
      <c r="A19" s="135" t="s">
        <v>299</v>
      </c>
      <c r="B19" s="131" t="s">
        <v>300</v>
      </c>
      <c r="C19" s="253">
        <v>90</v>
      </c>
      <c r="D19" s="253">
        <v>67</v>
      </c>
      <c r="E19" s="135" t="s">
        <v>301</v>
      </c>
      <c r="F19" s="177" t="s">
        <v>302</v>
      </c>
      <c r="G19" s="253"/>
      <c r="H19" s="254"/>
    </row>
    <row r="20" spans="1:8" ht="15.75">
      <c r="A20" s="175" t="s">
        <v>303</v>
      </c>
      <c r="B20" s="131" t="s">
        <v>304</v>
      </c>
      <c r="C20" s="253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41228</v>
      </c>
      <c r="D22" s="405">
        <f>SUM(D12:D18)+D19</f>
        <v>28242</v>
      </c>
      <c r="E22" s="135" t="s">
        <v>309</v>
      </c>
      <c r="F22" s="177" t="s">
        <v>310</v>
      </c>
      <c r="G22" s="253"/>
      <c r="H22" s="253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/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1</v>
      </c>
      <c r="D25" s="253">
        <v>1</v>
      </c>
      <c r="E25" s="135" t="s">
        <v>318</v>
      </c>
      <c r="F25" s="177" t="s">
        <v>319</v>
      </c>
      <c r="G25" s="253">
        <v>25</v>
      </c>
      <c r="H25" s="253">
        <v>36</v>
      </c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18</v>
      </c>
      <c r="D27" s="253">
        <v>8</v>
      </c>
      <c r="E27" s="176" t="s">
        <v>104</v>
      </c>
      <c r="F27" s="178" t="s">
        <v>326</v>
      </c>
      <c r="G27" s="404">
        <f>SUM(G22:G26)</f>
        <v>25</v>
      </c>
      <c r="H27" s="405">
        <f>SUM(H22:H26)</f>
        <v>36</v>
      </c>
    </row>
    <row r="28" spans="1:8" ht="15.75">
      <c r="A28" s="135" t="s">
        <v>79</v>
      </c>
      <c r="B28" s="177" t="s">
        <v>327</v>
      </c>
      <c r="C28" s="253">
        <v>22</v>
      </c>
      <c r="D28" s="253">
        <v>14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41</v>
      </c>
      <c r="D29" s="405">
        <f>SUM(D25:D28)</f>
        <v>23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41269</v>
      </c>
      <c r="D31" s="411">
        <f>D29+D22</f>
        <v>28265</v>
      </c>
      <c r="E31" s="191" t="s">
        <v>548</v>
      </c>
      <c r="F31" s="206" t="s">
        <v>331</v>
      </c>
      <c r="G31" s="193">
        <f>G16+G18+G27</f>
        <v>50141</v>
      </c>
      <c r="H31" s="194">
        <f>H16+H18+H27</f>
        <v>33606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8872</v>
      </c>
      <c r="D33" s="184">
        <f>IF((H31-D31)&gt;0,H31-D31,0)</f>
        <v>5341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41269</v>
      </c>
      <c r="D36" s="413">
        <f>D31-D34+D35</f>
        <v>28265</v>
      </c>
      <c r="E36" s="202" t="s">
        <v>346</v>
      </c>
      <c r="F36" s="196" t="s">
        <v>347</v>
      </c>
      <c r="G36" s="207">
        <f>G35-G34+G31</f>
        <v>50141</v>
      </c>
      <c r="H36" s="208">
        <f>H35-H34+H31</f>
        <v>33606</v>
      </c>
    </row>
    <row r="37" spans="1:8" ht="15.75">
      <c r="A37" s="201" t="s">
        <v>348</v>
      </c>
      <c r="B37" s="171" t="s">
        <v>349</v>
      </c>
      <c r="C37" s="410">
        <f>IF((G36-C36)&gt;0,G36-C36,0)</f>
        <v>8872</v>
      </c>
      <c r="D37" s="411">
        <f>IF((H36-D36)&gt;0,H36-D36,0)</f>
        <v>5341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887</v>
      </c>
      <c r="D38" s="405">
        <f>D39+D40+D41</f>
        <v>534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>
        <v>887</v>
      </c>
      <c r="D39" s="254">
        <v>534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7985</v>
      </c>
      <c r="D42" s="184">
        <f>+IF((H36-D36-D38)&gt;0,H36-D36-D38,0)</f>
        <v>4807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7985</v>
      </c>
      <c r="D44" s="208">
        <f>IF(H42=0,IF(D42-D43&gt;0,D42-D43+H43,0),IF(H42-H43&lt;0,H43-H42+D42,0))</f>
        <v>4807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50141</v>
      </c>
      <c r="D45" s="407">
        <f>D36+D38+D42</f>
        <v>33606</v>
      </c>
      <c r="E45" s="210" t="s">
        <v>373</v>
      </c>
      <c r="F45" s="212" t="s">
        <v>374</v>
      </c>
      <c r="G45" s="406">
        <f>G42+G36</f>
        <v>50141</v>
      </c>
      <c r="H45" s="407">
        <f>H42+H36</f>
        <v>33606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9" t="s">
        <v>666</v>
      </c>
      <c r="B50" s="477">
        <f>pdeReportingDate</f>
        <v>44671</v>
      </c>
      <c r="C50" s="477"/>
      <c r="D50" s="477"/>
      <c r="E50" s="477"/>
      <c r="F50" s="477"/>
      <c r="G50" s="477"/>
      <c r="H50" s="477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.75">
      <c r="A59" s="471"/>
      <c r="B59" s="476"/>
      <c r="C59" s="476"/>
      <c r="D59" s="476"/>
      <c r="E59" s="476"/>
      <c r="F59" s="350"/>
      <c r="G59" s="41"/>
      <c r="H59" s="39"/>
    </row>
    <row r="60" spans="1:8" ht="15.75">
      <c r="A60" s="471"/>
      <c r="B60" s="476"/>
      <c r="C60" s="476"/>
      <c r="D60" s="476"/>
      <c r="E60" s="476"/>
      <c r="F60" s="350"/>
      <c r="G60" s="41"/>
      <c r="H60" s="39"/>
    </row>
    <row r="61" spans="1:8" ht="15.75">
      <c r="A61" s="471"/>
      <c r="B61" s="476"/>
      <c r="C61" s="476"/>
      <c r="D61" s="476"/>
      <c r="E61" s="47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50600</v>
      </c>
      <c r="D11" s="138">
        <v>32641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-35771</v>
      </c>
      <c r="D12" s="138">
        <v>-18590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-10768</v>
      </c>
      <c r="D14" s="138">
        <v>-7849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-41</v>
      </c>
      <c r="D15" s="138">
        <v>-182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-580</v>
      </c>
      <c r="D16" s="138">
        <v>-618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-5</v>
      </c>
      <c r="D19" s="138">
        <v>18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30</v>
      </c>
      <c r="D20" s="138">
        <v>943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3">
        <f>SUM(C11:C20)</f>
        <v>3465</v>
      </c>
      <c r="D21" s="434">
        <f>SUM(D11:D20)</f>
        <v>6363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-7960</v>
      </c>
      <c r="D23" s="138">
        <v>-1549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20</v>
      </c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3">
        <f>SUM(C23:C32)</f>
        <v>-7940</v>
      </c>
      <c r="D33" s="434">
        <f>SUM(D23:D32)</f>
        <v>-1549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-11</v>
      </c>
      <c r="D39" s="138">
        <v>-25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-417</v>
      </c>
      <c r="D41" s="138">
        <v>-8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5">
        <f>SUM(C35:C42)</f>
        <v>-428</v>
      </c>
      <c r="D43" s="436">
        <f>SUM(D35:D42)</f>
        <v>-33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-4903</v>
      </c>
      <c r="D44" s="245">
        <f>D43+D33+D21</f>
        <v>4781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19241</v>
      </c>
      <c r="D45" s="246">
        <v>17887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14338</v>
      </c>
      <c r="D46" s="248">
        <f>D45+D44</f>
        <v>22668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8319</v>
      </c>
      <c r="D47" s="236">
        <v>15555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6019</v>
      </c>
      <c r="D48" s="220">
        <v>7113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1" t="s">
        <v>663</v>
      </c>
      <c r="B51" s="481"/>
      <c r="C51" s="481"/>
      <c r="D51" s="481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77">
        <f>pdeReportingDate</f>
        <v>44671</v>
      </c>
      <c r="C54" s="477"/>
      <c r="D54" s="477"/>
      <c r="E54" s="477"/>
      <c r="F54" s="472"/>
      <c r="G54" s="472"/>
      <c r="H54" s="472"/>
      <c r="M54" s="85"/>
    </row>
    <row r="55" spans="1:13" s="39" customFormat="1" ht="15.7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.7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.7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.7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.7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.7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.7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.7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.75">
      <c r="A63" s="471"/>
      <c r="B63" s="476"/>
      <c r="C63" s="476"/>
      <c r="D63" s="476"/>
      <c r="E63" s="476"/>
      <c r="F63" s="350"/>
      <c r="G63" s="41"/>
      <c r="H63" s="39"/>
    </row>
    <row r="64" spans="1:8" ht="15.75">
      <c r="A64" s="471"/>
      <c r="B64" s="476"/>
      <c r="C64" s="476"/>
      <c r="D64" s="476"/>
      <c r="E64" s="476"/>
      <c r="F64" s="350"/>
      <c r="G64" s="41"/>
      <c r="H64" s="39"/>
    </row>
    <row r="65" spans="1:8" ht="15.75">
      <c r="A65" s="471"/>
      <c r="B65" s="476"/>
      <c r="C65" s="476"/>
      <c r="D65" s="476"/>
      <c r="E65" s="47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I20" sqref="I20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1.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1.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11050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32762</v>
      </c>
      <c r="J13" s="360">
        <f>'1-Баланс'!H30+'1-Баланс'!H33</f>
        <v>0</v>
      </c>
      <c r="K13" s="361"/>
      <c r="L13" s="360">
        <f>SUM(C13:K13)</f>
        <v>89818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11050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32762</v>
      </c>
      <c r="J17" s="428">
        <f t="shared" si="2"/>
        <v>0</v>
      </c>
      <c r="K17" s="428">
        <f t="shared" si="2"/>
        <v>0</v>
      </c>
      <c r="L17" s="360">
        <f t="shared" si="1"/>
        <v>89818</v>
      </c>
      <c r="M17" s="429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7985</v>
      </c>
      <c r="J18" s="360">
        <f>+'1-Баланс'!G33</f>
        <v>0</v>
      </c>
      <c r="K18" s="361"/>
      <c r="L18" s="360">
        <f t="shared" si="1"/>
        <v>7985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0">
        <f t="shared" si="1"/>
        <v>0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/>
      <c r="J20" s="253"/>
      <c r="K20" s="253"/>
      <c r="L20" s="360">
        <f>SUM(C20:K20)</f>
        <v>0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>
        <v>-14</v>
      </c>
      <c r="F30" s="253"/>
      <c r="G30" s="253"/>
      <c r="H30" s="253"/>
      <c r="I30" s="253">
        <v>14</v>
      </c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11036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40761</v>
      </c>
      <c r="J31" s="428">
        <f t="shared" si="6"/>
        <v>0</v>
      </c>
      <c r="K31" s="428">
        <f t="shared" si="6"/>
        <v>0</v>
      </c>
      <c r="L31" s="360">
        <f t="shared" si="1"/>
        <v>97803</v>
      </c>
      <c r="M31" s="429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11036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40761</v>
      </c>
      <c r="J34" s="363">
        <f t="shared" si="7"/>
        <v>0</v>
      </c>
      <c r="K34" s="363">
        <f t="shared" si="7"/>
        <v>0</v>
      </c>
      <c r="L34" s="426">
        <f t="shared" si="1"/>
        <v>97803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9" t="s">
        <v>666</v>
      </c>
      <c r="B38" s="477">
        <f>pdeReportingDate</f>
        <v>44671</v>
      </c>
      <c r="C38" s="477"/>
      <c r="D38" s="477"/>
      <c r="E38" s="477"/>
      <c r="F38" s="477"/>
      <c r="G38" s="477"/>
      <c r="H38" s="477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.7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.7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.7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.7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.7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.7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.75">
      <c r="A49" s="471"/>
      <c r="B49" s="476"/>
      <c r="C49" s="476"/>
      <c r="D49" s="476"/>
      <c r="E49" s="47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A88" sqref="A8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.7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.7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.7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.7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.7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.7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.7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.7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.7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.7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.7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.7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.7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.7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.7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.7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.7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.7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.7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.7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.7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.7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.7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.7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.7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.7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.7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.7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.7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.7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.7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.7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.7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.7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.7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.7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.7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.7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.7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.7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.7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.7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.7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.7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.7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.7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.7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.7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.7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.7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.7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.7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.7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.7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.7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.7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.7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.75">
      <c r="A84" s="454">
        <v>3</v>
      </c>
      <c r="B84" s="455"/>
      <c r="C84" s="79"/>
      <c r="D84" s="79"/>
      <c r="E84" s="79"/>
      <c r="F84" s="257">
        <f t="shared" si="4"/>
        <v>0</v>
      </c>
    </row>
    <row r="85" spans="1:6" ht="15.7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.7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.7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.7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.7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.7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.7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.7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.7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.7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.7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.7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64</v>
      </c>
      <c r="D97" s="260"/>
      <c r="E97" s="260">
        <f>SUM(E82:E96)</f>
        <v>0</v>
      </c>
      <c r="F97" s="260">
        <f>SUM(F82:F96)</f>
        <v>64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.7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.7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.7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.7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.7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.7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.7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.7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.7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.7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.7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.7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.7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.7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.7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.7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.7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.7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.7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.7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.7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.7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.7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.7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.7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.7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.7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.7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.7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.7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.7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.7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.7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.7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.7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.7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.7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.7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.7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64</v>
      </c>
      <c r="D149" s="260"/>
      <c r="E149" s="260">
        <f>E148+E131+E114+E97</f>
        <v>0</v>
      </c>
      <c r="F149" s="260">
        <f>F148+F131+F114+F97</f>
        <v>64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9" t="s">
        <v>666</v>
      </c>
      <c r="B151" s="477">
        <f>pdeReportingDate</f>
        <v>44671</v>
      </c>
      <c r="C151" s="477"/>
      <c r="D151" s="477"/>
      <c r="E151" s="477"/>
      <c r="F151" s="477"/>
      <c r="G151" s="477"/>
      <c r="H151" s="477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.7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.7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.7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.7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.75">
      <c r="A160" s="471"/>
      <c r="B160" s="476"/>
      <c r="C160" s="476"/>
      <c r="D160" s="476"/>
      <c r="E160" s="476"/>
      <c r="F160" s="350"/>
      <c r="G160" s="41"/>
      <c r="H160" s="39"/>
    </row>
    <row r="161" spans="1:8" ht="15.75">
      <c r="A161" s="471"/>
      <c r="B161" s="476"/>
      <c r="C161" s="476"/>
      <c r="D161" s="476"/>
      <c r="E161" s="476"/>
      <c r="F161" s="350"/>
      <c r="G161" s="41"/>
      <c r="H161" s="39"/>
    </row>
    <row r="162" spans="1:8" ht="15.7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438" t="str">
        <f>CONCATENATE("за периода от ",TEXT(startDate,"dd.mm.yyyy г.")," до ",TEXT(endDate,"dd.mm.yyyy г."))</f>
        <v>за периода от 01.01.2022 г. до 31.03.2022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124454</v>
      </c>
      <c r="D6" s="450">
        <f aca="true" t="shared" si="0" ref="D6:D15">C6-E6</f>
        <v>0</v>
      </c>
      <c r="E6" s="449">
        <f>'1-Баланс'!G95</f>
        <v>124454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97803</v>
      </c>
      <c r="D7" s="450">
        <f t="shared" si="0"/>
        <v>58370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7985</v>
      </c>
      <c r="D8" s="450">
        <f t="shared" si="0"/>
        <v>0</v>
      </c>
      <c r="E8" s="449">
        <f>ABS('2-Отчет за доходите'!C44)-ABS('2-Отчет за доходите'!G44)</f>
        <v>7985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19242</v>
      </c>
      <c r="D9" s="450">
        <f t="shared" si="0"/>
        <v>1</v>
      </c>
      <c r="E9" s="449">
        <f>'3-Отчет за паричния поток'!C45</f>
        <v>19241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14338</v>
      </c>
      <c r="D10" s="450">
        <f t="shared" si="0"/>
        <v>0</v>
      </c>
      <c r="E10" s="449">
        <f>'3-Отчет за паричния поток'!C46</f>
        <v>14338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97803</v>
      </c>
      <c r="D11" s="450">
        <f t="shared" si="0"/>
        <v>0</v>
      </c>
      <c r="E11" s="449">
        <f>'4-Отчет за собствения капитал'!L34</f>
        <v>97803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64</v>
      </c>
      <c r="D12" s="450">
        <f t="shared" si="0"/>
        <v>0</v>
      </c>
      <c r="E12" s="449">
        <f>'Справка 5'!C27+'Справка 5'!C97</f>
        <v>64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1.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0.16134572640937564</v>
      </c>
      <c r="E3" s="421"/>
    </row>
    <row r="4" spans="1:4" ht="31.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0.08164371236056153</v>
      </c>
    </row>
    <row r="5" spans="1:4" ht="31.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0.29961352294473004</v>
      </c>
    </row>
    <row r="6" spans="1:4" ht="31.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0.06416025198065149</v>
      </c>
    </row>
    <row r="7" spans="1:4" ht="24" customHeight="1">
      <c r="A7" s="420" t="s">
        <v>586</v>
      </c>
      <c r="B7" s="418"/>
      <c r="C7" s="418"/>
      <c r="D7" s="419"/>
    </row>
    <row r="8" spans="1:4" ht="31.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1.2149797668952482</v>
      </c>
    </row>
    <row r="9" spans="1:4" ht="24" customHeight="1">
      <c r="A9" s="420" t="s">
        <v>589</v>
      </c>
      <c r="B9" s="418"/>
      <c r="C9" s="418"/>
      <c r="D9" s="419"/>
    </row>
    <row r="10" spans="1:4" ht="31.5">
      <c r="A10" s="368">
        <v>6</v>
      </c>
      <c r="B10" s="366" t="s">
        <v>590</v>
      </c>
      <c r="C10" s="367" t="s">
        <v>591</v>
      </c>
      <c r="D10" s="416">
        <f>'1-Баланс'!C94/'1-Баланс'!G79</f>
        <v>2.6379331160207653</v>
      </c>
    </row>
    <row r="11" spans="1:4" ht="63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1.8652662078956899</v>
      </c>
    </row>
    <row r="12" spans="1:4" ht="47.2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0.5770051108696527</v>
      </c>
    </row>
    <row r="13" spans="1:4" ht="31.5">
      <c r="A13" s="368">
        <v>9</v>
      </c>
      <c r="B13" s="366" t="s">
        <v>594</v>
      </c>
      <c r="C13" s="367" t="s">
        <v>595</v>
      </c>
      <c r="D13" s="416">
        <f>'1-Баланс'!C92/'1-Баланс'!G79</f>
        <v>0.5770051108696527</v>
      </c>
    </row>
    <row r="14" spans="1:4" ht="24" customHeight="1">
      <c r="A14" s="420" t="s">
        <v>596</v>
      </c>
      <c r="B14" s="418"/>
      <c r="C14" s="418"/>
      <c r="D14" s="419"/>
    </row>
    <row r="15" spans="1:4" ht="31.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0.7152044163764325</v>
      </c>
    </row>
    <row r="16" spans="1:4" ht="31.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0.39765696562585373</v>
      </c>
    </row>
    <row r="17" spans="1:4" ht="24" customHeight="1">
      <c r="A17" s="420" t="s">
        <v>599</v>
      </c>
      <c r="B17" s="418"/>
      <c r="C17" s="418"/>
      <c r="D17" s="419"/>
    </row>
    <row r="18" spans="1:4" ht="31.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0.018091461272024496</v>
      </c>
    </row>
    <row r="19" spans="1:4" ht="31.5">
      <c r="A19" s="368">
        <v>13</v>
      </c>
      <c r="B19" s="366" t="s">
        <v>624</v>
      </c>
      <c r="C19" s="367" t="s">
        <v>600</v>
      </c>
      <c r="D19" s="416">
        <f>D4/D5</f>
        <v>0.2724967536783125</v>
      </c>
    </row>
    <row r="20" spans="1:4" ht="31.5">
      <c r="A20" s="368">
        <v>14</v>
      </c>
      <c r="B20" s="366" t="s">
        <v>601</v>
      </c>
      <c r="C20" s="367" t="s">
        <v>602</v>
      </c>
      <c r="D20" s="416">
        <f>D6/D5</f>
        <v>0.21414337827631094</v>
      </c>
    </row>
    <row r="21" spans="1:5" ht="15.7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8873</v>
      </c>
      <c r="E21" s="473"/>
    </row>
    <row r="22" spans="1:4" ht="47.25">
      <c r="A22" s="368">
        <v>16</v>
      </c>
      <c r="B22" s="366" t="s">
        <v>607</v>
      </c>
      <c r="C22" s="367" t="s">
        <v>608</v>
      </c>
      <c r="D22" s="422">
        <f>D21/'1-Баланс'!G37</f>
        <v>0.09072318845025204</v>
      </c>
    </row>
    <row r="23" spans="1:4" ht="31.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0.22329032129395107</v>
      </c>
    </row>
    <row r="24" spans="1:4" ht="31.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2.3804037156127187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21568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19005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3020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673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211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577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50038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29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140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173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400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64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400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3833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4460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8293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58904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12464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523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5999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18986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2917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26163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1158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1769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32012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15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14323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14338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214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65550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124454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11036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17609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32776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32776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7985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40761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97803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64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64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1613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125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1802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24781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509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31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15924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743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5070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1091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1413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68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24849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24849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124454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24667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2726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2323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9676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1886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70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-210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90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41228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1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18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22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41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41269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8872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41269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8872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887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887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7985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7985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50141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48565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334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591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49490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626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25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25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50141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50141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50141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50600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-35771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-10768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-41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-580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0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-5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30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3465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-7960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20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0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-7940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-11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-417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-428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44651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-4903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44651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19241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44651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14338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44651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8319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44651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6019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44651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44651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44651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44651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44651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44651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44651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44651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44651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44651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44651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44651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44651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44651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44651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44651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44651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44651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44651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44651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44651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44651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44651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44651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44651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44651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44651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44651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44651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44651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44651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44651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44651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44651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44651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44651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44651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44651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44651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44651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44651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44651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44651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44651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44651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11050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44651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44651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44651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44651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11050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44651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44651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44651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44651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44651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44651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44651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44651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44651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44651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44651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44651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44651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-14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44651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11036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44651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44651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44651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11036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44651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44651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44651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44651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44651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44651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44651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44651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44651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44651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44651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44651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44651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44651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44651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44651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44651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44651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44651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44651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44651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44651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44651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44651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44651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44651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44651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44651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44651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44651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44651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44651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44651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44651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44651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44651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44651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44651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44651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44651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44651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44651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44651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44651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44651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44651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44651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44651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44651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44651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44651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44651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44651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44651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44651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44651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44651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44651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44651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44651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44651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44651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44651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44651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44651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44651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44651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32762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44651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44651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44651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44651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32762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44651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7985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44651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0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44651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0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44651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44651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44651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44651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44651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44651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44651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44651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44651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44651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14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44651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40761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44651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44651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44651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40761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44651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44651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44651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44651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44651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44651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44651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44651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44651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44651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44651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44651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44651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44651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44651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44651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44651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44651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44651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44651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44651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44651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44651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44651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44651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44651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44651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44651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44651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44651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44651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44651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44651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44651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44651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44651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44651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44651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44651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44651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44651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44651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44651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44651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44651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89818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44651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44651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44651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44651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89818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44651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7985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44651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0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44651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0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44651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44651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44651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44651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44651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44651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44651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44651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44651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44651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44651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97803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44651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44651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44651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97803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44651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44651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44651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44651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44651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44651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44651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44651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44651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44651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44651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44651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44651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44651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44651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44651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44651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44651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44651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44651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44651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44651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44651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44651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44651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44651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44651</v>
      </c>
      <c r="D469" s="92" t="s">
        <v>530</v>
      </c>
      <c r="E469" s="92">
        <v>1</v>
      </c>
      <c r="F469" s="92" t="s">
        <v>518</v>
      </c>
      <c r="H469" s="283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44651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44651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44651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44651</v>
      </c>
      <c r="D473" s="92" t="s">
        <v>535</v>
      </c>
      <c r="E473" s="92">
        <v>1</v>
      </c>
      <c r="F473" s="92" t="s">
        <v>529</v>
      </c>
      <c r="H473" s="283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44651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44651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44651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44651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44651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44651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44651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44651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44651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44651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44651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44651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44651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44651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44651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44651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44651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44651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44651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44651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44651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44651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44651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44651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44651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44651</v>
      </c>
      <c r="D499" s="92" t="s">
        <v>530</v>
      </c>
      <c r="E499" s="92">
        <v>4</v>
      </c>
      <c r="F499" s="92" t="s">
        <v>518</v>
      </c>
      <c r="H499" s="283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44651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44651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44651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44651</v>
      </c>
      <c r="D503" s="92" t="s">
        <v>535</v>
      </c>
      <c r="E503" s="92">
        <v>4</v>
      </c>
      <c r="F503" s="92" t="s">
        <v>529</v>
      </c>
      <c r="H503" s="283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2022-04-20T09:14:46Z</cp:lastPrinted>
  <dcterms:created xsi:type="dcterms:W3CDTF">2006-09-16T00:00:00Z</dcterms:created>
  <dcterms:modified xsi:type="dcterms:W3CDTF">2022-04-20T12:12:59Z</dcterms:modified>
  <cp:category/>
  <cp:version/>
  <cp:contentType/>
  <cp:contentStatus/>
</cp:coreProperties>
</file>